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270" windowWidth="11100" windowHeight="6285" tabRatio="968"/>
  </bookViews>
  <sheets>
    <sheet name="INTRO" sheetId="1" r:id="rId1"/>
    <sheet name=" BHKL NY LØN" sheetId="2" r:id="rId2"/>
    <sheet name="BHKL GL LØN" sheetId="3" r:id="rId3"/>
    <sheet name="LÆRER NY LØN KA, OI, UUM" sheetId="4" r:id="rId4"/>
    <sheet name="LÆRER NY LØN ØVRIGE SKOLER" sheetId="14" r:id="rId5"/>
    <sheet name="LÆRER GL LØN KA, OI, UUM" sheetId="5" r:id="rId6"/>
    <sheet name="LÆRER GL LØN ØVRIGE SKOLER" sheetId="15" r:id="rId7"/>
    <sheet name="Timelønnede" sheetId="11" r:id="rId8"/>
    <sheet name="Lejrskole" sheetId="12" r:id="rId9"/>
    <sheet name="Dage" sheetId="13" r:id="rId10"/>
    <sheet name="DATABANK" sheetId="10" r:id="rId11"/>
  </sheets>
  <definedNames>
    <definedName name="_Key1" hidden="1">#REF!</definedName>
    <definedName name="_Order1" hidden="1">255</definedName>
    <definedName name="_Sort" hidden="1">#REF!</definedName>
    <definedName name="_xlnm.Print_Area" localSheetId="1">' BHKL NY LØN'!$A$1:$H$45</definedName>
    <definedName name="_xlnm.Print_Area" localSheetId="2">'BHKL GL LØN'!$A$1:$I$33</definedName>
    <definedName name="_xlnm.Print_Area" localSheetId="10">DATABANK!$A$1:$G$112</definedName>
    <definedName name="_xlnm.Print_Area" localSheetId="5">'LÆRER GL LØN KA, OI, UUM'!$A$1:$I$38</definedName>
    <definedName name="_xlnm.Print_Area" localSheetId="6">'LÆRER GL LØN ØVRIGE SKOLER'!$A$1:$I$34</definedName>
    <definedName name="_xlnm.Print_Area" localSheetId="3">'LÆRER NY LØN KA, OI, UUM'!$A$1:$H$52</definedName>
    <definedName name="_xlnm.Print_Area" localSheetId="4">'LÆRER NY LØN ØVRIGE SKOLER'!$A$1:$H$48</definedName>
  </definedNames>
  <calcPr calcId="145621"/>
</workbook>
</file>

<file path=xl/calcChain.xml><?xml version="1.0" encoding="utf-8"?>
<calcChain xmlns="http://schemas.openxmlformats.org/spreadsheetml/2006/main">
  <c r="D14" i="13" l="1"/>
  <c r="B13" i="13"/>
  <c r="D13" i="13" s="1"/>
  <c r="E13" i="13" s="1"/>
  <c r="B11" i="13"/>
  <c r="D11" i="13" s="1"/>
  <c r="B10" i="13"/>
  <c r="E9" i="13"/>
  <c r="B9" i="13"/>
  <c r="J6" i="13"/>
  <c r="D6" i="13"/>
  <c r="M5" i="13"/>
  <c r="L5" i="13"/>
  <c r="K5" i="13"/>
  <c r="J5" i="13"/>
  <c r="I5" i="13"/>
  <c r="H5" i="13"/>
  <c r="G5" i="13"/>
  <c r="G6" i="13" s="1"/>
  <c r="F5" i="13"/>
  <c r="E5" i="13"/>
  <c r="D5" i="13"/>
  <c r="C5" i="13"/>
  <c r="C6" i="13" s="1"/>
  <c r="B5" i="13"/>
  <c r="B15" i="13" l="1"/>
  <c r="B12" i="13"/>
  <c r="E11" i="13"/>
  <c r="E15" i="13" s="1"/>
  <c r="D15" i="13"/>
  <c r="D31" i="13"/>
  <c r="B30" i="13"/>
  <c r="D30" i="13" s="1"/>
  <c r="E30" i="13" s="1"/>
  <c r="B28" i="13"/>
  <c r="D28" i="13" s="1"/>
  <c r="B27" i="13"/>
  <c r="E26" i="13"/>
  <c r="B26" i="13"/>
  <c r="M22" i="13"/>
  <c r="L22" i="13"/>
  <c r="K22" i="13"/>
  <c r="J22" i="13"/>
  <c r="J23" i="13" s="1"/>
  <c r="I22" i="13"/>
  <c r="H22" i="13"/>
  <c r="G22" i="13"/>
  <c r="G23" i="13" s="1"/>
  <c r="F22" i="13"/>
  <c r="E22" i="13"/>
  <c r="D22" i="13"/>
  <c r="D23" i="13" s="1"/>
  <c r="C22" i="13"/>
  <c r="C23" i="13" s="1"/>
  <c r="B22" i="13"/>
  <c r="B32" i="13" l="1"/>
  <c r="B29" i="13"/>
  <c r="E28" i="13"/>
  <c r="E32" i="13" s="1"/>
  <c r="D32" i="13"/>
  <c r="B90" i="10"/>
  <c r="G18" i="3"/>
  <c r="G30" i="2"/>
  <c r="B68" i="10"/>
  <c r="C87" i="10"/>
  <c r="D34" i="14" s="1"/>
  <c r="C73" i="10"/>
  <c r="C72" i="10"/>
  <c r="D23" i="2" s="1"/>
  <c r="B96" i="10"/>
  <c r="C96" i="10" s="1"/>
  <c r="D37" i="14" s="1"/>
  <c r="B94" i="10"/>
  <c r="C94" i="10"/>
  <c r="D36" i="14" s="1"/>
  <c r="B92" i="10"/>
  <c r="C92" i="10"/>
  <c r="D31" i="2" s="1"/>
  <c r="B82" i="10"/>
  <c r="C82" i="10"/>
  <c r="D15" i="3" s="1"/>
  <c r="B77" i="10"/>
  <c r="C77" i="10" s="1"/>
  <c r="D27" i="2" s="1"/>
  <c r="B66" i="10"/>
  <c r="C66" i="10" s="1"/>
  <c r="B63" i="10"/>
  <c r="C63" i="10" s="1"/>
  <c r="D23" i="14" s="1"/>
  <c r="H25" i="15"/>
  <c r="J20" i="15"/>
  <c r="K20" i="15" s="1"/>
  <c r="G17" i="15"/>
  <c r="J16" i="15"/>
  <c r="K16" i="15" s="1"/>
  <c r="D8" i="15"/>
  <c r="D7" i="15"/>
  <c r="D4" i="15"/>
  <c r="E3" i="15"/>
  <c r="F2" i="15"/>
  <c r="H39" i="14"/>
  <c r="J34" i="14"/>
  <c r="K34" i="14" s="1"/>
  <c r="G31" i="14"/>
  <c r="J30" i="14"/>
  <c r="K30" i="14" s="1"/>
  <c r="D17" i="14"/>
  <c r="D22" i="14" s="1"/>
  <c r="D16" i="14"/>
  <c r="D21" i="14" s="1"/>
  <c r="D14" i="14"/>
  <c r="D18" i="14" s="1"/>
  <c r="D13" i="14"/>
  <c r="D12" i="14"/>
  <c r="D10" i="14"/>
  <c r="D9" i="14"/>
  <c r="D8" i="14"/>
  <c r="D7" i="14"/>
  <c r="D4" i="14"/>
  <c r="E3" i="14"/>
  <c r="F2" i="14"/>
  <c r="A2" i="14"/>
  <c r="J16" i="5"/>
  <c r="J21" i="5"/>
  <c r="D14" i="15" l="1"/>
  <c r="D14" i="5"/>
  <c r="F14" i="5" s="1"/>
  <c r="D30" i="2"/>
  <c r="D19" i="3"/>
  <c r="D21" i="3"/>
  <c r="D22" i="3"/>
  <c r="F22" i="3" s="1"/>
  <c r="G22" i="3" s="1"/>
  <c r="D18" i="3"/>
  <c r="D22" i="15"/>
  <c r="D18" i="15"/>
  <c r="D32" i="14"/>
  <c r="D35" i="14"/>
  <c r="D33" i="2"/>
  <c r="D21" i="15"/>
  <c r="D9" i="15"/>
  <c r="D23" i="15"/>
  <c r="D20" i="15"/>
  <c r="D34" i="2"/>
  <c r="F34" i="2" s="1"/>
  <c r="G34" i="2" s="1"/>
  <c r="F7" i="15"/>
  <c r="G7" i="15" s="1"/>
  <c r="B17" i="15"/>
  <c r="B18" i="15" s="1"/>
  <c r="B19" i="15"/>
  <c r="F4" i="15"/>
  <c r="F8" i="15"/>
  <c r="F7" i="14"/>
  <c r="G7" i="14" s="1"/>
  <c r="F8" i="14"/>
  <c r="G8" i="14" s="1"/>
  <c r="F9" i="14"/>
  <c r="G9" i="14" s="1"/>
  <c r="F10" i="14"/>
  <c r="G10" i="14" s="1"/>
  <c r="F12" i="14"/>
  <c r="G12" i="14" s="1"/>
  <c r="F13" i="14"/>
  <c r="G13" i="14" s="1"/>
  <c r="F14" i="14"/>
  <c r="G14" i="14" s="1"/>
  <c r="F15" i="14"/>
  <c r="G15" i="14" s="1"/>
  <c r="F17" i="14"/>
  <c r="G17" i="14" s="1"/>
  <c r="F4" i="14"/>
  <c r="F16" i="14"/>
  <c r="G16" i="14" s="1"/>
  <c r="F18" i="14"/>
  <c r="G18" i="14" s="1"/>
  <c r="F21" i="14"/>
  <c r="G21" i="14" s="1"/>
  <c r="F22" i="14"/>
  <c r="G22" i="14" s="1"/>
  <c r="B31" i="14"/>
  <c r="B33" i="14"/>
  <c r="B49" i="13"/>
  <c r="D48" i="13"/>
  <c r="B47" i="13"/>
  <c r="D47" i="13" s="1"/>
  <c r="E47" i="13" s="1"/>
  <c r="C39" i="13"/>
  <c r="D39" i="13"/>
  <c r="E39" i="13"/>
  <c r="F39" i="13"/>
  <c r="G39" i="13"/>
  <c r="H39" i="13"/>
  <c r="I39" i="13"/>
  <c r="J39" i="13"/>
  <c r="K39" i="13"/>
  <c r="L39" i="13"/>
  <c r="M39" i="13"/>
  <c r="B45" i="13"/>
  <c r="D45" i="13" s="1"/>
  <c r="B44" i="13"/>
  <c r="E43" i="13"/>
  <c r="B43" i="13"/>
  <c r="B39" i="13"/>
  <c r="D14" i="2"/>
  <c r="D17" i="2" s="1"/>
  <c r="F17" i="2" s="1"/>
  <c r="G17" i="2" s="1"/>
  <c r="D12" i="2"/>
  <c r="F12" i="2" s="1"/>
  <c r="G12" i="2" s="1"/>
  <c r="D11" i="2"/>
  <c r="F11" i="2" s="1"/>
  <c r="G11" i="2" s="1"/>
  <c r="D9" i="2"/>
  <c r="D8" i="2"/>
  <c r="F8" i="2" s="1"/>
  <c r="G8" i="2" s="1"/>
  <c r="D7" i="2"/>
  <c r="F7" i="2" s="1"/>
  <c r="G7" i="2" s="1"/>
  <c r="D5" i="3"/>
  <c r="F5" i="3" s="1"/>
  <c r="G5" i="3" s="1"/>
  <c r="D4" i="3"/>
  <c r="F4" i="3" s="1"/>
  <c r="G4" i="3" s="1"/>
  <c r="D4" i="2"/>
  <c r="E60" i="13"/>
  <c r="B62" i="13"/>
  <c r="D61" i="13" s="1"/>
  <c r="E61" i="13" s="1"/>
  <c r="C65" i="13"/>
  <c r="B65" i="13"/>
  <c r="C66" i="13"/>
  <c r="D65" i="13" s="1"/>
  <c r="B64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B61" i="13"/>
  <c r="B60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B77" i="13"/>
  <c r="E77" i="13"/>
  <c r="B78" i="13"/>
  <c r="B79" i="13"/>
  <c r="D78" i="13"/>
  <c r="B81" i="13"/>
  <c r="C82" i="13"/>
  <c r="B82" i="13"/>
  <c r="C68" i="10"/>
  <c r="D17" i="4"/>
  <c r="D22" i="4" s="1"/>
  <c r="D16" i="4"/>
  <c r="D21" i="4" s="1"/>
  <c r="D14" i="4"/>
  <c r="D18" i="4" s="1"/>
  <c r="D13" i="4"/>
  <c r="D12" i="4"/>
  <c r="D10" i="4"/>
  <c r="D9" i="4"/>
  <c r="D8" i="4"/>
  <c r="D7" i="4"/>
  <c r="D4" i="4"/>
  <c r="D8" i="5"/>
  <c r="D7" i="5"/>
  <c r="D4" i="5"/>
  <c r="C57" i="10"/>
  <c r="D11" i="4" s="1"/>
  <c r="C60" i="10"/>
  <c r="C62" i="10"/>
  <c r="C67" i="10"/>
  <c r="D24" i="4" s="1"/>
  <c r="F24" i="4" s="1"/>
  <c r="G24" i="4" s="1"/>
  <c r="C69" i="10"/>
  <c r="D26" i="4" s="1"/>
  <c r="F26" i="4" s="1"/>
  <c r="G26" i="4" s="1"/>
  <c r="C70" i="10"/>
  <c r="C71" i="10"/>
  <c r="D28" i="4" s="1"/>
  <c r="F28" i="4" s="1"/>
  <c r="G28" i="4" s="1"/>
  <c r="C76" i="10"/>
  <c r="J30" i="4"/>
  <c r="K30" i="4"/>
  <c r="C78" i="10"/>
  <c r="D33" i="14" s="1"/>
  <c r="C85" i="10"/>
  <c r="C86" i="10"/>
  <c r="J35" i="4"/>
  <c r="K35" i="4" s="1"/>
  <c r="C91" i="10"/>
  <c r="C93" i="10"/>
  <c r="D37" i="4" s="1"/>
  <c r="F37" i="4" s="1"/>
  <c r="G37" i="4" s="1"/>
  <c r="C95" i="10"/>
  <c r="D24" i="5" s="1"/>
  <c r="F24" i="5" s="1"/>
  <c r="G24" i="5" s="1"/>
  <c r="C75" i="10"/>
  <c r="C102" i="10"/>
  <c r="C90" i="10"/>
  <c r="D32" i="2" s="1"/>
  <c r="B41" i="4"/>
  <c r="C103" i="10"/>
  <c r="D23" i="3" s="1"/>
  <c r="F23" i="3" s="1"/>
  <c r="G23" i="3" s="1"/>
  <c r="E3" i="5"/>
  <c r="C61" i="10"/>
  <c r="D5" i="15" s="1"/>
  <c r="F5" i="15" s="1"/>
  <c r="D12" i="5"/>
  <c r="F12" i="5" s="1"/>
  <c r="C81" i="10"/>
  <c r="K16" i="5"/>
  <c r="B83" i="10"/>
  <c r="C83" i="10" s="1"/>
  <c r="D19" i="15" s="1"/>
  <c r="B27" i="5"/>
  <c r="J13" i="3"/>
  <c r="K13" i="3" s="1"/>
  <c r="E3" i="3"/>
  <c r="E3" i="4"/>
  <c r="F10" i="4" s="1"/>
  <c r="G10" i="4" s="1"/>
  <c r="E3" i="2"/>
  <c r="F4" i="2"/>
  <c r="C65" i="10"/>
  <c r="D6" i="3" s="1"/>
  <c r="F6" i="3" s="1"/>
  <c r="I6" i="3" s="1"/>
  <c r="D9" i="3"/>
  <c r="F9" i="3" s="1"/>
  <c r="H24" i="3"/>
  <c r="C79" i="10"/>
  <c r="D28" i="2" s="1"/>
  <c r="H36" i="2"/>
  <c r="C58" i="10"/>
  <c r="D6" i="2" s="1"/>
  <c r="F6" i="2" s="1"/>
  <c r="G6" i="2" s="1"/>
  <c r="F9" i="2"/>
  <c r="G9" i="2" s="1"/>
  <c r="F13" i="2"/>
  <c r="G13" i="2" s="1"/>
  <c r="F14" i="2"/>
  <c r="G14" i="2" s="1"/>
  <c r="C59" i="10"/>
  <c r="D15" i="15" s="1"/>
  <c r="D21" i="2"/>
  <c r="F21" i="2" s="1"/>
  <c r="G21" i="2" s="1"/>
  <c r="J25" i="2"/>
  <c r="K25" i="2" s="1"/>
  <c r="F33" i="2"/>
  <c r="G33" i="2" s="1"/>
  <c r="H43" i="4"/>
  <c r="H29" i="5"/>
  <c r="E94" i="13"/>
  <c r="B96" i="13"/>
  <c r="D95" i="13" s="1"/>
  <c r="E95" i="13" s="1"/>
  <c r="C99" i="13"/>
  <c r="C100" i="13" s="1"/>
  <c r="D99" i="13" s="1"/>
  <c r="B99" i="13"/>
  <c r="B98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B95" i="13"/>
  <c r="B94" i="13"/>
  <c r="C88" i="10"/>
  <c r="G3" i="12" s="1"/>
  <c r="H3" i="12" s="1"/>
  <c r="C89" i="10"/>
  <c r="G4" i="12" s="1"/>
  <c r="H4" i="12" s="1"/>
  <c r="C109" i="10"/>
  <c r="F4" i="11" s="1"/>
  <c r="C110" i="10"/>
  <c r="F5" i="11" s="1"/>
  <c r="C108" i="10"/>
  <c r="F3" i="11" s="1"/>
  <c r="A2" i="4"/>
  <c r="A2" i="2"/>
  <c r="G26" i="2"/>
  <c r="F2" i="2"/>
  <c r="G14" i="3"/>
  <c r="F2" i="3"/>
  <c r="C64" i="10"/>
  <c r="G17" i="5"/>
  <c r="F2" i="5"/>
  <c r="G31" i="4"/>
  <c r="C97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5" i="10"/>
  <c r="B56" i="10"/>
  <c r="C56" i="10"/>
  <c r="B84" i="10"/>
  <c r="C84" i="10" s="1"/>
  <c r="C99" i="10"/>
  <c r="C100" i="10"/>
  <c r="C105" i="10"/>
  <c r="C111" i="10"/>
  <c r="G4" i="11" s="1"/>
  <c r="C112" i="10"/>
  <c r="G5" i="11" s="1"/>
  <c r="B107" i="13"/>
  <c r="C107" i="13"/>
  <c r="D107" i="13"/>
  <c r="E107" i="13"/>
  <c r="F107" i="13"/>
  <c r="G107" i="13"/>
  <c r="H107" i="13"/>
  <c r="I107" i="13"/>
  <c r="J107" i="13"/>
  <c r="K107" i="13"/>
  <c r="L107" i="13"/>
  <c r="B110" i="13"/>
  <c r="B111" i="13"/>
  <c r="B112" i="13"/>
  <c r="B114" i="13"/>
  <c r="F5" i="12"/>
  <c r="B7" i="12"/>
  <c r="F2" i="4"/>
  <c r="B17" i="3"/>
  <c r="B26" i="2"/>
  <c r="B29" i="2"/>
  <c r="F16" i="4"/>
  <c r="G16" i="4" s="1"/>
  <c r="F15" i="4"/>
  <c r="G15" i="4" s="1"/>
  <c r="B17" i="5"/>
  <c r="D81" i="13" l="1"/>
  <c r="E81" i="13" s="1"/>
  <c r="D64" i="13"/>
  <c r="E64" i="13" s="1"/>
  <c r="E66" i="13" s="1"/>
  <c r="D10" i="2"/>
  <c r="F10" i="2" s="1"/>
  <c r="G10" i="2" s="1"/>
  <c r="F15" i="15"/>
  <c r="D5" i="5"/>
  <c r="I14" i="5"/>
  <c r="G14" i="5"/>
  <c r="D15" i="2"/>
  <c r="F15" i="2" s="1"/>
  <c r="G15" i="2" s="1"/>
  <c r="F8" i="5"/>
  <c r="G8" i="5" s="1"/>
  <c r="B113" i="13"/>
  <c r="D12" i="3"/>
  <c r="F12" i="3" s="1"/>
  <c r="D24" i="2"/>
  <c r="F24" i="2" s="1"/>
  <c r="G24" i="2" s="1"/>
  <c r="F4" i="5"/>
  <c r="G4" i="5" s="1"/>
  <c r="F7" i="5"/>
  <c r="G7" i="5" s="1"/>
  <c r="D18" i="2"/>
  <c r="F18" i="2" s="1"/>
  <c r="G18" i="2" s="1"/>
  <c r="D98" i="13"/>
  <c r="D100" i="13" s="1"/>
  <c r="D10" i="5"/>
  <c r="F10" i="5" s="1"/>
  <c r="G10" i="5" s="1"/>
  <c r="F5" i="5"/>
  <c r="I6" i="5" s="1"/>
  <c r="G15" i="15"/>
  <c r="I15" i="15"/>
  <c r="F9" i="4"/>
  <c r="G9" i="4" s="1"/>
  <c r="C83" i="13"/>
  <c r="D82" i="13" s="1"/>
  <c r="B46" i="13"/>
  <c r="F21" i="3"/>
  <c r="G21" i="3" s="1"/>
  <c r="D23" i="5"/>
  <c r="F23" i="5" s="1"/>
  <c r="G23" i="5" s="1"/>
  <c r="B32" i="14"/>
  <c r="D18" i="5"/>
  <c r="D38" i="4"/>
  <c r="F38" i="4" s="1"/>
  <c r="G38" i="4" s="1"/>
  <c r="F23" i="15"/>
  <c r="G23" i="15" s="1"/>
  <c r="F37" i="14"/>
  <c r="G37" i="14" s="1"/>
  <c r="F36" i="14"/>
  <c r="G36" i="14" s="1"/>
  <c r="F22" i="15"/>
  <c r="G22" i="15" s="1"/>
  <c r="G20" i="15"/>
  <c r="G34" i="14"/>
  <c r="D33" i="4"/>
  <c r="D27" i="4"/>
  <c r="F27" i="4" s="1"/>
  <c r="G27" i="4" s="1"/>
  <c r="D13" i="15"/>
  <c r="F13" i="15" s="1"/>
  <c r="D27" i="14"/>
  <c r="F27" i="14" s="1"/>
  <c r="G27" i="14" s="1"/>
  <c r="D12" i="15"/>
  <c r="F12" i="15" s="1"/>
  <c r="D26" i="14"/>
  <c r="F26" i="14" s="1"/>
  <c r="G26" i="14" s="1"/>
  <c r="D19" i="2"/>
  <c r="F19" i="2" s="1"/>
  <c r="G19" i="2" s="1"/>
  <c r="D10" i="15"/>
  <c r="F10" i="15" s="1"/>
  <c r="D24" i="14"/>
  <c r="F24" i="14" s="1"/>
  <c r="G24" i="14" s="1"/>
  <c r="D6" i="4"/>
  <c r="D19" i="14"/>
  <c r="D11" i="14"/>
  <c r="F11" i="14" s="1"/>
  <c r="G11" i="14" s="1"/>
  <c r="D6" i="14"/>
  <c r="F6" i="14" s="1"/>
  <c r="G6" i="14" s="1"/>
  <c r="D20" i="2"/>
  <c r="F20" i="2" s="1"/>
  <c r="G20" i="2" s="1"/>
  <c r="D11" i="15"/>
  <c r="F11" i="15" s="1"/>
  <c r="D25" i="14"/>
  <c r="F25" i="14" s="1"/>
  <c r="G25" i="14" s="1"/>
  <c r="F33" i="14"/>
  <c r="G33" i="14" s="1"/>
  <c r="F18" i="15"/>
  <c r="G18" i="15" s="1"/>
  <c r="D16" i="2"/>
  <c r="F16" i="2" s="1"/>
  <c r="G16" i="2" s="1"/>
  <c r="F14" i="15"/>
  <c r="D29" i="14"/>
  <c r="F29" i="14" s="1"/>
  <c r="G29" i="14" s="1"/>
  <c r="D17" i="3"/>
  <c r="F17" i="3" s="1"/>
  <c r="G17" i="3" s="1"/>
  <c r="F19" i="15"/>
  <c r="G19" i="15" s="1"/>
  <c r="D42" i="4"/>
  <c r="F42" i="4" s="1"/>
  <c r="G42" i="4" s="1"/>
  <c r="D38" i="14"/>
  <c r="F38" i="14" s="1"/>
  <c r="G38" i="14" s="1"/>
  <c r="D24" i="15"/>
  <c r="F24" i="15" s="1"/>
  <c r="G24" i="15" s="1"/>
  <c r="D20" i="3"/>
  <c r="F20" i="3" s="1"/>
  <c r="G20" i="3" s="1"/>
  <c r="D39" i="4"/>
  <c r="F39" i="4" s="1"/>
  <c r="G39" i="4" s="1"/>
  <c r="D36" i="4"/>
  <c r="F36" i="4" s="1"/>
  <c r="G36" i="4" s="1"/>
  <c r="F21" i="15"/>
  <c r="G21" i="15" s="1"/>
  <c r="F35" i="14"/>
  <c r="G35" i="14" s="1"/>
  <c r="D20" i="5"/>
  <c r="D32" i="4"/>
  <c r="F32" i="14"/>
  <c r="G32" i="14" s="1"/>
  <c r="F23" i="2"/>
  <c r="G23" i="2" s="1"/>
  <c r="D28" i="14"/>
  <c r="F28" i="14" s="1"/>
  <c r="G28" i="14" s="1"/>
  <c r="F9" i="15"/>
  <c r="F23" i="14"/>
  <c r="G23" i="14" s="1"/>
  <c r="I8" i="15"/>
  <c r="G8" i="15"/>
  <c r="G4" i="15"/>
  <c r="G5" i="15"/>
  <c r="I6" i="15"/>
  <c r="F6" i="15"/>
  <c r="G6" i="15" s="1"/>
  <c r="G4" i="14"/>
  <c r="F31" i="2"/>
  <c r="G31" i="2" s="1"/>
  <c r="D22" i="5"/>
  <c r="F22" i="5" s="1"/>
  <c r="G22" i="5" s="1"/>
  <c r="D16" i="3"/>
  <c r="D21" i="5"/>
  <c r="F19" i="3"/>
  <c r="G19" i="3" s="1"/>
  <c r="G3" i="11"/>
  <c r="H3" i="11" s="1"/>
  <c r="D7" i="3"/>
  <c r="F7" i="3" s="1"/>
  <c r="G7" i="3" s="1"/>
  <c r="D41" i="4"/>
  <c r="F41" i="4" s="1"/>
  <c r="G41" i="4" s="1"/>
  <c r="D35" i="4"/>
  <c r="F35" i="4" s="1"/>
  <c r="G35" i="4" s="1"/>
  <c r="I12" i="5"/>
  <c r="G12" i="5"/>
  <c r="D29" i="2"/>
  <c r="F29" i="2" s="1"/>
  <c r="G29" i="2" s="1"/>
  <c r="D22" i="2"/>
  <c r="F22" i="2" s="1"/>
  <c r="G22" i="2" s="1"/>
  <c r="D10" i="3"/>
  <c r="F10" i="3" s="1"/>
  <c r="D27" i="5"/>
  <c r="F27" i="5" s="1"/>
  <c r="G27" i="5" s="1"/>
  <c r="D13" i="5"/>
  <c r="F13" i="5" s="1"/>
  <c r="G13" i="5" s="1"/>
  <c r="H4" i="11"/>
  <c r="H5" i="12"/>
  <c r="F32" i="2"/>
  <c r="G32" i="2" s="1"/>
  <c r="D25" i="5"/>
  <c r="F25" i="5" s="1"/>
  <c r="G25" i="5" s="1"/>
  <c r="G6" i="3"/>
  <c r="D35" i="2"/>
  <c r="F35" i="2" s="1"/>
  <c r="G35" i="2" s="1"/>
  <c r="D11" i="3"/>
  <c r="F11" i="3" s="1"/>
  <c r="D28" i="5"/>
  <c r="F28" i="5" s="1"/>
  <c r="G28" i="5" s="1"/>
  <c r="D19" i="5"/>
  <c r="D34" i="4"/>
  <c r="E98" i="13"/>
  <c r="E100" i="13" s="1"/>
  <c r="I9" i="3"/>
  <c r="G9" i="3"/>
  <c r="B33" i="4"/>
  <c r="B34" i="4"/>
  <c r="D49" i="13"/>
  <c r="E45" i="13"/>
  <c r="E49" i="13" s="1"/>
  <c r="D26" i="5"/>
  <c r="F26" i="5" s="1"/>
  <c r="G26" i="5" s="1"/>
  <c r="D40" i="4"/>
  <c r="F40" i="4" s="1"/>
  <c r="G40" i="4" s="1"/>
  <c r="E78" i="13"/>
  <c r="E83" i="13" s="1"/>
  <c r="B31" i="4"/>
  <c r="B32" i="4" s="1"/>
  <c r="F18" i="4"/>
  <c r="G18" i="4" s="1"/>
  <c r="F11" i="4"/>
  <c r="G11" i="4" s="1"/>
  <c r="F22" i="4"/>
  <c r="G22" i="4" s="1"/>
  <c r="F12" i="4"/>
  <c r="G12" i="4" s="1"/>
  <c r="F8" i="4"/>
  <c r="G8" i="4" s="1"/>
  <c r="D29" i="4"/>
  <c r="F29" i="4" s="1"/>
  <c r="G29" i="4" s="1"/>
  <c r="D15" i="5"/>
  <c r="F15" i="5" s="1"/>
  <c r="F4" i="4"/>
  <c r="F14" i="4"/>
  <c r="G14" i="4" s="1"/>
  <c r="F21" i="4"/>
  <c r="G21" i="4" s="1"/>
  <c r="F7" i="4"/>
  <c r="G7" i="4" s="1"/>
  <c r="F6" i="4"/>
  <c r="G6" i="4" s="1"/>
  <c r="F13" i="4"/>
  <c r="G13" i="4" s="1"/>
  <c r="F17" i="4"/>
  <c r="G17" i="4" s="1"/>
  <c r="B20" i="5"/>
  <c r="D9" i="5"/>
  <c r="F9" i="5" s="1"/>
  <c r="D23" i="4"/>
  <c r="F23" i="4" s="1"/>
  <c r="G23" i="4" s="1"/>
  <c r="B19" i="5"/>
  <c r="B18" i="5" s="1"/>
  <c r="H5" i="11"/>
  <c r="B97" i="13"/>
  <c r="G4" i="2"/>
  <c r="B80" i="13"/>
  <c r="B28" i="2"/>
  <c r="F28" i="2" s="1"/>
  <c r="G28" i="2" s="1"/>
  <c r="B16" i="3"/>
  <c r="D25" i="4"/>
  <c r="F25" i="4" s="1"/>
  <c r="G25" i="4" s="1"/>
  <c r="D11" i="5"/>
  <c r="F11" i="5" s="1"/>
  <c r="D8" i="3"/>
  <c r="F8" i="3" s="1"/>
  <c r="B63" i="13"/>
  <c r="D19" i="4"/>
  <c r="F19" i="4" s="1"/>
  <c r="G19" i="4" s="1"/>
  <c r="D66" i="13" l="1"/>
  <c r="D83" i="13"/>
  <c r="F33" i="4"/>
  <c r="G33" i="4" s="1"/>
  <c r="F18" i="5"/>
  <c r="G18" i="5" s="1"/>
  <c r="I10" i="5"/>
  <c r="I8" i="5"/>
  <c r="G5" i="5"/>
  <c r="F6" i="5"/>
  <c r="G6" i="5" s="1"/>
  <c r="F16" i="3"/>
  <c r="G16" i="3" s="1"/>
  <c r="G12" i="3"/>
  <c r="I12" i="3"/>
  <c r="F32" i="4"/>
  <c r="G32" i="4" s="1"/>
  <c r="F20" i="5"/>
  <c r="G20" i="5" s="1"/>
  <c r="I14" i="15"/>
  <c r="G14" i="15"/>
  <c r="I10" i="15"/>
  <c r="G10" i="15"/>
  <c r="I7" i="3"/>
  <c r="I9" i="15"/>
  <c r="G9" i="15"/>
  <c r="I11" i="15"/>
  <c r="G11" i="15"/>
  <c r="D20" i="14"/>
  <c r="F20" i="14" s="1"/>
  <c r="G20" i="14" s="1"/>
  <c r="F19" i="14"/>
  <c r="I12" i="15"/>
  <c r="G12" i="15"/>
  <c r="I13" i="15"/>
  <c r="G13" i="15"/>
  <c r="F25" i="15"/>
  <c r="G25" i="15" s="1"/>
  <c r="G26" i="15" s="1"/>
  <c r="I13" i="5"/>
  <c r="G10" i="3"/>
  <c r="I10" i="3"/>
  <c r="F34" i="4"/>
  <c r="G34" i="4" s="1"/>
  <c r="I11" i="3"/>
  <c r="G11" i="3"/>
  <c r="F19" i="5"/>
  <c r="G19" i="5" s="1"/>
  <c r="D20" i="4"/>
  <c r="F20" i="4" s="1"/>
  <c r="G20" i="4" s="1"/>
  <c r="B27" i="2"/>
  <c r="F27" i="2" s="1"/>
  <c r="G4" i="4"/>
  <c r="I15" i="5"/>
  <c r="G15" i="5"/>
  <c r="I8" i="3"/>
  <c r="G8" i="3"/>
  <c r="I11" i="5"/>
  <c r="G11" i="5"/>
  <c r="B15" i="3"/>
  <c r="F15" i="3" s="1"/>
  <c r="G15" i="3" s="1"/>
  <c r="I9" i="5"/>
  <c r="G9" i="5"/>
  <c r="I25" i="15" l="1"/>
  <c r="I26" i="15" s="1"/>
  <c r="G19" i="14"/>
  <c r="F39" i="14"/>
  <c r="G39" i="14" s="1"/>
  <c r="G40" i="14" s="1"/>
  <c r="F43" i="4"/>
  <c r="G43" i="4" s="1"/>
  <c r="G44" i="4" s="1"/>
  <c r="I24" i="3"/>
  <c r="I25" i="3" s="1"/>
  <c r="G27" i="2"/>
  <c r="F36" i="2"/>
  <c r="G36" i="2" s="1"/>
  <c r="G37" i="2" s="1"/>
  <c r="I29" i="5"/>
  <c r="I30" i="5" s="1"/>
  <c r="F24" i="3"/>
  <c r="G24" i="3" s="1"/>
  <c r="G25" i="3" s="1"/>
  <c r="K21" i="5"/>
  <c r="F21" i="5" s="1"/>
  <c r="F29" i="5" s="1"/>
  <c r="G21" i="5" l="1"/>
  <c r="G29" i="5"/>
  <c r="G30" i="5" s="1"/>
</calcChain>
</file>

<file path=xl/comments1.xml><?xml version="1.0" encoding="utf-8"?>
<comments xmlns="http://schemas.openxmlformats.org/spreadsheetml/2006/main">
  <authors>
    <author>BLF</author>
    <author>Niels Kjeldsen</author>
    <author>Niels &amp; Eva</author>
    <author>ERNK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2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0" authorId="3">
      <text>
        <r>
          <rPr>
            <b/>
            <sz val="9"/>
            <color indexed="81"/>
            <rFont val="Tahoma"/>
            <family val="2"/>
          </rPr>
          <t>Der ydes ikke akkordtillæg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33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BLF</author>
    <author>Niels &amp; Eva</author>
    <author>Niels Kjeldsen</author>
    <author>ERNK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9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0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18" authorId="3">
      <text>
        <r>
          <rPr>
            <b/>
            <sz val="9"/>
            <color indexed="81"/>
            <rFont val="Tahoma"/>
            <family val="2"/>
          </rPr>
          <t>Der ydes ikke akkordtillæg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7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BLF</author>
    <author>Niels Kjeldsen</author>
    <author>Niels &amp; Eva</author>
    <author>ERNK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7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Se opgaveoversigten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4" authorId="3">
      <text>
        <r>
          <rPr>
            <b/>
            <sz val="9"/>
            <color indexed="81"/>
            <rFont val="Tahoma"/>
            <family val="2"/>
          </rPr>
          <t>Der ydes ikke akkordtillæg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BLF</author>
    <author>Niels &amp; Eva</author>
    <author>Niels Kjeldsen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Hvis du har valt løn i stedet for pension i Frit Valgs-ordningen: skriv 1 her.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12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6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BLF</author>
    <author>Niels &amp; Eva</author>
    <author>Niels Kjeldsen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Hvis du har valt løn i stedet for pension i Frit Valgs-ordningen: skriv 1 her.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12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6" authorId="1">
      <text>
        <r>
          <rPr>
            <b/>
            <sz val="8"/>
            <color indexed="81"/>
            <rFont val="Tahoma"/>
            <family val="2"/>
          </rPr>
          <t>Se opgaveoversigten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Skriv timer,minutter   Fx 2:30 på opgaveoversigten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0" authorId="1">
      <text>
        <r>
          <rPr>
            <sz val="8"/>
            <color indexed="81"/>
            <rFont val="Tahoma"/>
            <family val="2"/>
          </rPr>
          <t xml:space="preserve">Der ydes ikke akkordtillæg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<sst xmlns="http://schemas.openxmlformats.org/spreadsheetml/2006/main" count="744" uniqueCount="166">
  <si>
    <t>LØNTABEL</t>
  </si>
  <si>
    <t>pr.31.3.00</t>
  </si>
  <si>
    <t>I alt</t>
  </si>
  <si>
    <t>lejrskole, hv</t>
  </si>
  <si>
    <t>lejrskole, lsh</t>
  </si>
  <si>
    <t>akkord</t>
  </si>
  <si>
    <t>I ALT</t>
  </si>
  <si>
    <t>Øvelseslæ</t>
  </si>
  <si>
    <t>Skps u auto</t>
  </si>
  <si>
    <t>Lærer, Ny Løn</t>
  </si>
  <si>
    <t>Undervisningstimer</t>
  </si>
  <si>
    <t>UVT NL 1</t>
  </si>
  <si>
    <t>læ + bh 300-750</t>
  </si>
  <si>
    <t>UVT NL 2</t>
  </si>
  <si>
    <t>læ &gt;750, bh &gt;836</t>
  </si>
  <si>
    <t>UVT NL 3</t>
  </si>
  <si>
    <t>bh 750-836</t>
  </si>
  <si>
    <t>UVT AL 1</t>
  </si>
  <si>
    <t>UVT AL 2</t>
  </si>
  <si>
    <t>UVT AL 3</t>
  </si>
  <si>
    <t>t/år</t>
  </si>
  <si>
    <t>hvis ja:1</t>
  </si>
  <si>
    <t>Grundlønstrin</t>
  </si>
  <si>
    <t>DENNE SIDE SKAL IKKE UDFYLDES</t>
  </si>
  <si>
    <t>DU SKAL SLET IKKE VÆRE HER</t>
  </si>
  <si>
    <t>SKYND DIG VÆK</t>
  </si>
  <si>
    <t>sats</t>
  </si>
  <si>
    <t>pr. time</t>
  </si>
  <si>
    <t>Navn</t>
  </si>
  <si>
    <t>á</t>
  </si>
  <si>
    <t>MÅNEDSLØN</t>
  </si>
  <si>
    <t>ÅRSLØN</t>
  </si>
  <si>
    <t>Beskæftigelsesgrad:</t>
  </si>
  <si>
    <t>Lønsats pr:</t>
  </si>
  <si>
    <t>TIMELØNNEDE</t>
  </si>
  <si>
    <t>UDDANNEDE LÆRERE</t>
  </si>
  <si>
    <t>UDDANNEDE BØRNEHAVEKLASSELEDERE</t>
  </si>
  <si>
    <t>IKKE UDDANNEDE</t>
  </si>
  <si>
    <t>do ikke udd</t>
  </si>
  <si>
    <t>Timelø.udd</t>
  </si>
  <si>
    <t>Centralt</t>
  </si>
  <si>
    <t>Ballerup</t>
  </si>
  <si>
    <t>Timelø læ</t>
  </si>
  <si>
    <t>Timelø bhkl</t>
  </si>
  <si>
    <t>Timelø ikud</t>
  </si>
  <si>
    <t>INTRODUKTION</t>
  </si>
  <si>
    <t>LEJRSKOLETILLÆG</t>
  </si>
  <si>
    <t>Antal påbegyndte lør-/søn/helligdage</t>
  </si>
  <si>
    <t>Antal påbegyndte hverdage</t>
  </si>
  <si>
    <t>antal:</t>
  </si>
  <si>
    <t>i alt</t>
  </si>
  <si>
    <t>Sats pr.:</t>
  </si>
  <si>
    <t>pr.år f. fuldtidsans.</t>
  </si>
  <si>
    <t>pr.år</t>
  </si>
  <si>
    <t>Pensg. Løn</t>
  </si>
  <si>
    <t>Praktik</t>
  </si>
  <si>
    <t>FIND DIG SELV</t>
  </si>
  <si>
    <t>Forkortelser:</t>
  </si>
  <si>
    <t>Klik på det rigtige faneblad nederst!</t>
  </si>
  <si>
    <t>Uv-timer 0.-300. t.**</t>
  </si>
  <si>
    <t>Uv-timer 300.-750. t.**</t>
  </si>
  <si>
    <t>Uv-timer 750.-836. t.**</t>
  </si>
  <si>
    <t>Uv-timer over 836. t.**</t>
  </si>
  <si>
    <t>Uv-timer over 750. t.**</t>
  </si>
  <si>
    <t>UVT UUM</t>
  </si>
  <si>
    <t>læ &gt; 681</t>
  </si>
  <si>
    <t>OK § 5B</t>
  </si>
  <si>
    <t>kalenderdage</t>
  </si>
  <si>
    <t>weekenddage</t>
  </si>
  <si>
    <t>søgne/h-dage</t>
  </si>
  <si>
    <t>arbejdsdage</t>
  </si>
  <si>
    <t>skoledage</t>
  </si>
  <si>
    <t>UM</t>
  </si>
  <si>
    <t>Feriedage</t>
  </si>
  <si>
    <t>6. ferieuge</t>
  </si>
  <si>
    <t>OK § 5 stk. 8</t>
  </si>
  <si>
    <t>OK § 5,8</t>
  </si>
  <si>
    <t>OK § 5, 10</t>
  </si>
  <si>
    <t>OK § 5 stk.10</t>
  </si>
  <si>
    <t>OK § 5,11</t>
  </si>
  <si>
    <t>OK § 5 stk. 11</t>
  </si>
  <si>
    <t>§5,9 bhkl</t>
  </si>
  <si>
    <t>Centralt tillæg</t>
  </si>
  <si>
    <t>0-3 års anciennitet</t>
  </si>
  <si>
    <t>4-7 års anciennitet</t>
  </si>
  <si>
    <t>8-11 års anciennitet</t>
  </si>
  <si>
    <t>OK §5, 3</t>
  </si>
  <si>
    <t>Uv-vejleder</t>
  </si>
  <si>
    <t>pr. år</t>
  </si>
  <si>
    <t>Min. 12 års ancien.</t>
  </si>
  <si>
    <t>§ 2,1 4 løntrin</t>
  </si>
  <si>
    <t>§ 2,2 2 løntrin</t>
  </si>
  <si>
    <t>§ 3,1</t>
  </si>
  <si>
    <t>§ 4 PDCP</t>
  </si>
  <si>
    <t>OK § 5,3 specialskole</t>
  </si>
  <si>
    <t>Lærer, Lukkede gruppe</t>
  </si>
  <si>
    <t>§ 3,2</t>
  </si>
  <si>
    <t>§ 3,3</t>
  </si>
  <si>
    <t>Uv-timer over 681 kun UM</t>
  </si>
  <si>
    <t>Akkordtimer</t>
  </si>
  <si>
    <t>Pro 2,1 Fællespuljelærer</t>
  </si>
  <si>
    <t>Pro 2,2 Pæd. medhjælp</t>
  </si>
  <si>
    <t>Undervisningsvejleder</t>
  </si>
  <si>
    <t>Pro 2,3 TR/SI-repræsent.</t>
  </si>
  <si>
    <t>Bhkl., Lukkede gruppe</t>
  </si>
  <si>
    <t>§ 3 Særligt tillæg</t>
  </si>
  <si>
    <t>OK § 5 stk. 9</t>
  </si>
  <si>
    <t>BHKL., Ny Løn</t>
  </si>
  <si>
    <t>BHKL: børnehaveklasseleder</t>
  </si>
  <si>
    <t>GL LØN: tjenestemænd og de få over-</t>
  </si>
  <si>
    <t>enskomstansatte, der er i den såkaldt</t>
  </si>
  <si>
    <t>"Lukkede gruppe"</t>
  </si>
  <si>
    <t>Blå tekst: lokal aftale</t>
  </si>
  <si>
    <t>Sort tekst: central aftale</t>
  </si>
  <si>
    <t>Se "farven på lønnen":</t>
  </si>
  <si>
    <t>Frit valg</t>
  </si>
  <si>
    <t>§ 2,1 3 løntrin</t>
  </si>
  <si>
    <t>§ 2,1 1 løntrin</t>
  </si>
  <si>
    <t>God fornøjelse!        Spørg din TR eller BLF, hvis du har brug for det.                                   Venlig hilsen     Ballerup Læreforening</t>
  </si>
  <si>
    <t>Iflg BKs lønseddel</t>
  </si>
  <si>
    <t>Forskel</t>
  </si>
  <si>
    <t>Konklusion:</t>
  </si>
  <si>
    <r>
      <t xml:space="preserve">Der er i nogle tilfælde tilføjet kommentarer. De er markeret med en lille rød trekant. Peg på teksten, så ser du kommentaren. Nærmere forklaring finder du i selve aftalerne. Den lokale lønaftale finder du på </t>
    </r>
    <r>
      <rPr>
        <b/>
        <u/>
        <sz val="11"/>
        <rFont val="Arial"/>
        <family val="2"/>
      </rPr>
      <t>www.kreds21.dk</t>
    </r>
  </si>
  <si>
    <t>NY LØN: de fleste overenskomstansatte</t>
  </si>
  <si>
    <t>Grå tekst: pensionsbidrag</t>
  </si>
  <si>
    <t>Er der fejl?  Ballerup Kommune har oplyst, at alle fejl i lønnen rettes ved henvendelse til skolens kontor. Tal med din TR først, hvis du er i tvivl.</t>
  </si>
  <si>
    <r>
      <t xml:space="preserve">Dette værktøj er beregnet til at beregne lønnen for flertallet af lærere og børnehaveklasseledere i Ballerup Kommune.                          Brugsanvisning: find først det rigtige faneblad i bunden. Se den grønne boks til højre. Tast oplysninger ind.                                             </t>
    </r>
    <r>
      <rPr>
        <b/>
        <sz val="12"/>
        <color indexed="10"/>
        <rFont val="Arial"/>
        <family val="2"/>
      </rPr>
      <t>Brug KUN de gule felter!</t>
    </r>
    <r>
      <rPr>
        <b/>
        <sz val="11"/>
        <rFont val="Arial"/>
        <family val="2"/>
      </rPr>
      <t xml:space="preserve">                              Hvis et felt ikke er relevant springes det blot over.                                                                         I nogle af felterne kommer der en lille forklaring frem, hvis man klikker på feltet. Programmet er uden ansvar - det er Ballerup Kommune, der er ansvarlig for korrekt løn. </t>
    </r>
  </si>
  <si>
    <t>Uv-timer 0.-300. t.</t>
  </si>
  <si>
    <t>Uv-timer 300.-750. t.</t>
  </si>
  <si>
    <t>Uv-timer over 750. t.</t>
  </si>
  <si>
    <t>Pensions-bidrag pr år</t>
  </si>
  <si>
    <t xml:space="preserve">pr md </t>
  </si>
  <si>
    <t>Venlig hilsen BLF</t>
  </si>
  <si>
    <t>FORBEREDELSER</t>
  </si>
  <si>
    <t>Du skal have to papirer parat:</t>
  </si>
  <si>
    <t>Brun tekst: tal fra din lønseddel</t>
  </si>
  <si>
    <t>KREATIV BOGFØRING</t>
  </si>
  <si>
    <t>Lærer på Maglemosen</t>
  </si>
  <si>
    <t>§ 5 Koordtill</t>
  </si>
  <si>
    <t>§ 5 Koordineringstillæg</t>
  </si>
  <si>
    <t>§ 4 Uddannelse</t>
  </si>
  <si>
    <t>TR</t>
  </si>
  <si>
    <r>
      <rPr>
        <b/>
        <sz val="12"/>
        <rFont val="Arial"/>
        <family val="2"/>
      </rPr>
      <t xml:space="preserve">DER MANGLER NOGET!              Fra 1. januar 2012 indgår et 'Fritvalgstillæg' på 0,30 % af lønnen, enten som løn eller som pension. Det står på forsiden af din lønseddel, men indgår pt. ikke i løntjekkeren.      </t>
    </r>
    <r>
      <rPr>
        <sz val="12"/>
        <rFont val="Arial"/>
        <family val="2"/>
      </rPr>
      <t xml:space="preserve">  </t>
    </r>
  </si>
  <si>
    <t>Lærer, Ny Løn, Øvrige skoler</t>
  </si>
  <si>
    <t>Øvrige</t>
  </si>
  <si>
    <t>KA, OI og UUM</t>
  </si>
  <si>
    <t>Prot 2.3 TR</t>
  </si>
  <si>
    <t>Prot 2.1 FÆPU</t>
  </si>
  <si>
    <t>Prot 2.2 PÆME</t>
  </si>
  <si>
    <t>Øvrige, ny løn</t>
  </si>
  <si>
    <t>Øvrige, gl. løn</t>
  </si>
  <si>
    <t>KA, OI og UUM, ny løn</t>
  </si>
  <si>
    <t>TR og SI</t>
  </si>
  <si>
    <t>Lærere på OI og KA</t>
  </si>
  <si>
    <t xml:space="preserve"> </t>
  </si>
  <si>
    <t xml:space="preserve">TR </t>
  </si>
  <si>
    <t xml:space="preserve">På aktivitesplanen/opgaveover-sigten angives undervisnings- og akkordtimer i timer og minutter  (fx 2:30 betyder 2 t 30 min. og svarer til 2,5 time).                                                  Du slipper for omregningen, skriv 2,30 i programmet, så regnes det som 2,5.                Meget upædagogisk, men det virker. </t>
  </si>
  <si>
    <t>*din aktivitetsplan/opgaveoversigt</t>
  </si>
  <si>
    <t>*din lønseddel</t>
  </si>
  <si>
    <t>Skoledagene kan variere fra skole til skole hen over året, men</t>
  </si>
  <si>
    <t>det samlede tal er 200.</t>
  </si>
  <si>
    <t>2012/13</t>
  </si>
  <si>
    <t>2011/12</t>
  </si>
  <si>
    <t>1.4.2013</t>
  </si>
  <si>
    <t>2013/14</t>
  </si>
  <si>
    <t xml:space="preserve">Undtagelser:   øvelsesskolelærere, flexjobbere, kombinationsbeskæftigede, frikøbte til organisationsarbejde og andre med særlige vilkår samt ikke-uddannede skal håndberegnes.         Spørg TR eller kredskontoret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</si>
</sst>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0_)"/>
    <numFmt numFmtId="166" formatCode="0.000000"/>
    <numFmt numFmtId="167" formatCode="0.0"/>
    <numFmt numFmtId="168" formatCode="0.000"/>
    <numFmt numFmtId="169" formatCode="#,##0.0"/>
    <numFmt numFmtId="170" formatCode="#,##0.000"/>
    <numFmt numFmtId="171" formatCode="_(* #,##0.000000_);_(* \(#,##0.000000\);_(* &quot;-&quot;??_);_(@_)"/>
    <numFmt numFmtId="172" formatCode="_(* #,##0_);_(* \(#,##0\);_(* &quot;-&quot;??_);_(@_)"/>
  </numFmts>
  <fonts count="53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TimesNewRomanPS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sz val="12"/>
      <color indexed="55"/>
      <name val="Arial"/>
      <family val="2"/>
    </font>
    <font>
      <i/>
      <sz val="11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3"/>
      <name val="Arial"/>
      <family val="2"/>
    </font>
    <font>
      <sz val="12"/>
      <color indexed="9"/>
      <name val="Arial"/>
      <family val="2"/>
    </font>
    <font>
      <b/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34">
    <xf numFmtId="0" fontId="0" fillId="0" borderId="0" xfId="0"/>
    <xf numFmtId="165" fontId="0" fillId="0" borderId="0" xfId="0" applyNumberFormat="1" applyProtection="1"/>
    <xf numFmtId="0" fontId="3" fillId="0" borderId="0" xfId="0" applyFont="1"/>
    <xf numFmtId="0" fontId="0" fillId="0" borderId="0" xfId="0" applyBorder="1"/>
    <xf numFmtId="2" fontId="0" fillId="0" borderId="0" xfId="0" applyNumberFormat="1"/>
    <xf numFmtId="4" fontId="5" fillId="0" borderId="0" xfId="0" applyNumberFormat="1" applyFont="1"/>
    <xf numFmtId="2" fontId="6" fillId="0" borderId="0" xfId="0" applyNumberFormat="1" applyFont="1" applyFill="1" applyAlignment="1">
      <alignment horizontal="right"/>
    </xf>
    <xf numFmtId="164" fontId="0" fillId="0" borderId="0" xfId="1" applyFont="1"/>
    <xf numFmtId="164" fontId="0" fillId="0" borderId="0" xfId="1" applyFont="1" applyBorder="1" applyProtection="1"/>
    <xf numFmtId="164" fontId="0" fillId="0" borderId="0" xfId="1" applyFont="1" applyBorder="1"/>
    <xf numFmtId="171" fontId="0" fillId="0" borderId="0" xfId="1" applyNumberFormat="1" applyFont="1" applyBorder="1" applyProtection="1"/>
    <xf numFmtId="171" fontId="0" fillId="0" borderId="0" xfId="1" applyNumberFormat="1" applyFont="1" applyBorder="1"/>
    <xf numFmtId="4" fontId="7" fillId="0" borderId="0" xfId="0" applyNumberFormat="1" applyFont="1"/>
    <xf numFmtId="2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/>
    <xf numFmtId="164" fontId="4" fillId="2" borderId="4" xfId="1" applyFont="1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6" xfId="0" applyFill="1" applyBorder="1"/>
    <xf numFmtId="164" fontId="4" fillId="2" borderId="7" xfId="1" applyFont="1" applyFill="1" applyBorder="1"/>
    <xf numFmtId="164" fontId="0" fillId="2" borderId="0" xfId="1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9" xfId="1" applyFont="1" applyFill="1" applyBorder="1"/>
    <xf numFmtId="164" fontId="0" fillId="2" borderId="10" xfId="1" applyFont="1" applyFill="1" applyBorder="1"/>
    <xf numFmtId="0" fontId="0" fillId="2" borderId="10" xfId="0" applyFill="1" applyBorder="1"/>
    <xf numFmtId="0" fontId="0" fillId="2" borderId="11" xfId="0" applyFill="1" applyBorder="1"/>
    <xf numFmtId="4" fontId="10" fillId="0" borderId="0" xfId="0" applyNumberFormat="1" applyFont="1"/>
    <xf numFmtId="0" fontId="0" fillId="0" borderId="14" xfId="0" applyBorder="1" applyAlignment="1">
      <alignment horizontal="right"/>
    </xf>
    <xf numFmtId="166" fontId="0" fillId="0" borderId="15" xfId="0" applyNumberForma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applyFont="1" applyBorder="1" applyProtection="1"/>
    <xf numFmtId="0" fontId="4" fillId="0" borderId="0" xfId="0" applyFont="1" applyBorder="1"/>
    <xf numFmtId="164" fontId="4" fillId="0" borderId="0" xfId="1" applyFont="1" applyBorder="1"/>
    <xf numFmtId="164" fontId="0" fillId="0" borderId="0" xfId="0" applyNumberFormat="1"/>
    <xf numFmtId="0" fontId="0" fillId="0" borderId="17" xfId="0" applyBorder="1"/>
    <xf numFmtId="0" fontId="0" fillId="0" borderId="18" xfId="0" applyBorder="1"/>
    <xf numFmtId="16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9" xfId="0" applyBorder="1" applyAlignment="1">
      <alignment horizontal="center"/>
    </xf>
    <xf numFmtId="164" fontId="3" fillId="0" borderId="12" xfId="1" applyFont="1" applyBorder="1" applyAlignment="1">
      <alignment horizontal="right"/>
    </xf>
    <xf numFmtId="164" fontId="11" fillId="0" borderId="12" xfId="1" applyFont="1" applyBorder="1" applyAlignment="1">
      <alignment horizontal="right"/>
    </xf>
    <xf numFmtId="37" fontId="0" fillId="0" borderId="12" xfId="1" applyNumberFormat="1" applyFont="1" applyFill="1" applyBorder="1" applyAlignment="1">
      <alignment horizontal="center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left"/>
    </xf>
    <xf numFmtId="0" fontId="0" fillId="0" borderId="20" xfId="0" applyBorder="1" applyAlignment="1">
      <alignment horizontal="center"/>
    </xf>
    <xf numFmtId="164" fontId="0" fillId="0" borderId="20" xfId="1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171" fontId="0" fillId="0" borderId="15" xfId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5" xfId="0" applyBorder="1"/>
    <xf numFmtId="0" fontId="3" fillId="0" borderId="15" xfId="0" applyFont="1" applyBorder="1" applyAlignment="1">
      <alignment horizontal="center"/>
    </xf>
    <xf numFmtId="164" fontId="11" fillId="0" borderId="15" xfId="1" applyFont="1" applyBorder="1" applyProtection="1"/>
    <xf numFmtId="4" fontId="15" fillId="0" borderId="0" xfId="0" applyNumberFormat="1" applyFont="1"/>
    <xf numFmtId="39" fontId="17" fillId="0" borderId="21" xfId="0" applyNumberFormat="1" applyFont="1" applyBorder="1" applyProtection="1"/>
    <xf numFmtId="39" fontId="17" fillId="0" borderId="0" xfId="0" applyNumberFormat="1" applyFont="1" applyBorder="1" applyProtection="1"/>
    <xf numFmtId="39" fontId="17" fillId="0" borderId="22" xfId="0" applyNumberFormat="1" applyFont="1" applyBorder="1" applyProtection="1"/>
    <xf numFmtId="39" fontId="17" fillId="0" borderId="23" xfId="0" applyNumberFormat="1" applyFont="1" applyBorder="1" applyProtection="1"/>
    <xf numFmtId="39" fontId="17" fillId="0" borderId="1" xfId="0" applyNumberFormat="1" applyFont="1" applyBorder="1" applyProtection="1"/>
    <xf numFmtId="39" fontId="17" fillId="0" borderId="24" xfId="0" applyNumberFormat="1" applyFont="1" applyBorder="1" applyProtection="1"/>
    <xf numFmtId="17" fontId="0" fillId="0" borderId="0" xfId="0" applyNumberFormat="1"/>
    <xf numFmtId="0" fontId="0" fillId="0" borderId="12" xfId="0" applyBorder="1"/>
    <xf numFmtId="167" fontId="0" fillId="0" borderId="25" xfId="0" applyNumberFormat="1" applyBorder="1"/>
    <xf numFmtId="167" fontId="0" fillId="0" borderId="26" xfId="0" applyNumberFormat="1" applyBorder="1"/>
    <xf numFmtId="167" fontId="3" fillId="0" borderId="27" xfId="0" applyNumberFormat="1" applyFont="1" applyBorder="1"/>
    <xf numFmtId="3" fontId="10" fillId="0" borderId="0" xfId="0" applyNumberFormat="1" applyFont="1"/>
    <xf numFmtId="3" fontId="5" fillId="0" borderId="0" xfId="0" applyNumberFormat="1" applyFont="1"/>
    <xf numFmtId="3" fontId="9" fillId="0" borderId="28" xfId="0" applyNumberFormat="1" applyFont="1" applyBorder="1"/>
    <xf numFmtId="3" fontId="14" fillId="0" borderId="0" xfId="0" applyNumberFormat="1" applyFont="1" applyAlignment="1">
      <alignment horizontal="center"/>
    </xf>
    <xf numFmtId="4" fontId="20" fillId="0" borderId="0" xfId="0" applyNumberFormat="1" applyFont="1" applyFill="1"/>
    <xf numFmtId="4" fontId="15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left"/>
    </xf>
    <xf numFmtId="4" fontId="15" fillId="0" borderId="0" xfId="0" applyNumberFormat="1" applyFont="1" applyFill="1"/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4" fontId="15" fillId="0" borderId="0" xfId="0" applyNumberFormat="1" applyFont="1" applyFill="1" applyAlignment="1">
      <alignment horizontal="right"/>
    </xf>
    <xf numFmtId="4" fontId="15" fillId="0" borderId="0" xfId="0" applyNumberFormat="1" applyFont="1" applyFill="1" applyBorder="1" applyAlignment="1">
      <alignment horizontal="left"/>
    </xf>
    <xf numFmtId="1" fontId="15" fillId="3" borderId="29" xfId="0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 applyFill="1" applyBorder="1" applyAlignment="1">
      <alignment horizontal="left"/>
    </xf>
    <xf numFmtId="2" fontId="14" fillId="0" borderId="17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2" fontId="14" fillId="3" borderId="32" xfId="0" applyNumberFormat="1" applyFont="1" applyFill="1" applyBorder="1" applyAlignment="1">
      <alignment horizontal="left"/>
    </xf>
    <xf numFmtId="4" fontId="23" fillId="0" borderId="0" xfId="0" applyNumberFormat="1" applyFont="1" applyFill="1"/>
    <xf numFmtId="1" fontId="15" fillId="0" borderId="0" xfId="0" applyNumberFormat="1" applyFont="1" applyFill="1" applyAlignment="1">
      <alignment horizontal="center"/>
    </xf>
    <xf numFmtId="4" fontId="19" fillId="0" borderId="0" xfId="0" applyNumberFormat="1" applyFont="1"/>
    <xf numFmtId="2" fontId="19" fillId="0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1" fontId="19" fillId="3" borderId="27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Fill="1" applyAlignment="1">
      <alignment horizontal="left"/>
    </xf>
    <xf numFmtId="2" fontId="15" fillId="3" borderId="29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2" fontId="15" fillId="3" borderId="25" xfId="0" applyNumberFormat="1" applyFont="1" applyFill="1" applyBorder="1" applyAlignment="1">
      <alignment horizontal="right"/>
    </xf>
    <xf numFmtId="1" fontId="15" fillId="3" borderId="29" xfId="0" applyNumberFormat="1" applyFont="1" applyFill="1" applyBorder="1" applyAlignment="1" applyProtection="1">
      <alignment horizontal="center"/>
      <protection locked="0"/>
    </xf>
    <xf numFmtId="4" fontId="24" fillId="0" borderId="29" xfId="0" applyNumberFormat="1" applyFont="1" applyBorder="1"/>
    <xf numFmtId="4" fontId="15" fillId="0" borderId="33" xfId="0" applyNumberFormat="1" applyFont="1" applyBorder="1"/>
    <xf numFmtId="4" fontId="19" fillId="0" borderId="33" xfId="0" applyNumberFormat="1" applyFont="1" applyBorder="1"/>
    <xf numFmtId="4" fontId="15" fillId="0" borderId="34" xfId="0" applyNumberFormat="1" applyFont="1" applyBorder="1"/>
    <xf numFmtId="4" fontId="19" fillId="0" borderId="34" xfId="0" applyNumberFormat="1" applyFont="1" applyBorder="1"/>
    <xf numFmtId="169" fontId="15" fillId="0" borderId="26" xfId="0" applyNumberFormat="1" applyFont="1" applyFill="1" applyBorder="1" applyAlignment="1">
      <alignment horizontal="right"/>
    </xf>
    <xf numFmtId="4" fontId="21" fillId="0" borderId="29" xfId="0" applyNumberFormat="1" applyFont="1" applyBorder="1" applyAlignment="1">
      <alignment horizontal="center"/>
    </xf>
    <xf numFmtId="2" fontId="15" fillId="0" borderId="35" xfId="0" applyNumberFormat="1" applyFont="1" applyFill="1" applyBorder="1" applyAlignment="1">
      <alignment horizontal="left"/>
    </xf>
    <xf numFmtId="4" fontId="15" fillId="0" borderId="35" xfId="0" applyNumberFormat="1" applyFont="1" applyFill="1" applyBorder="1" applyAlignment="1">
      <alignment horizontal="right"/>
    </xf>
    <xf numFmtId="4" fontId="15" fillId="0" borderId="36" xfId="0" applyNumberFormat="1" applyFont="1" applyFill="1" applyBorder="1" applyAlignment="1">
      <alignment horizontal="left"/>
    </xf>
    <xf numFmtId="4" fontId="15" fillId="0" borderId="2" xfId="0" applyNumberFormat="1" applyFont="1" applyFill="1" applyBorder="1" applyAlignment="1">
      <alignment horizontal="left"/>
    </xf>
    <xf numFmtId="4" fontId="19" fillId="0" borderId="2" xfId="0" applyNumberFormat="1" applyFont="1" applyFill="1" applyBorder="1" applyAlignment="1">
      <alignment horizontal="left"/>
    </xf>
    <xf numFmtId="3" fontId="18" fillId="0" borderId="37" xfId="0" applyNumberFormat="1" applyFont="1" applyBorder="1" applyAlignment="1">
      <alignment horizontal="center"/>
    </xf>
    <xf numFmtId="4" fontId="19" fillId="0" borderId="37" xfId="0" applyNumberFormat="1" applyFont="1" applyFill="1" applyBorder="1" applyAlignment="1">
      <alignment horizontal="right"/>
    </xf>
    <xf numFmtId="4" fontId="19" fillId="0" borderId="38" xfId="0" applyNumberFormat="1" applyFont="1" applyFill="1" applyBorder="1" applyAlignment="1">
      <alignment horizontal="left"/>
    </xf>
    <xf numFmtId="2" fontId="19" fillId="0" borderId="37" xfId="0" applyNumberFormat="1" applyFont="1" applyFill="1" applyBorder="1" applyAlignment="1">
      <alignment horizontal="left"/>
    </xf>
    <xf numFmtId="4" fontId="15" fillId="0" borderId="30" xfId="0" applyNumberFormat="1" applyFont="1" applyBorder="1"/>
    <xf numFmtId="2" fontId="15" fillId="0" borderId="31" xfId="0" applyNumberFormat="1" applyFont="1" applyFill="1" applyBorder="1" applyAlignment="1">
      <alignment horizontal="right"/>
    </xf>
    <xf numFmtId="2" fontId="15" fillId="0" borderId="31" xfId="0" applyNumberFormat="1" applyFont="1" applyFill="1" applyBorder="1" applyAlignment="1">
      <alignment horizontal="left"/>
    </xf>
    <xf numFmtId="4" fontId="15" fillId="0" borderId="31" xfId="0" applyNumberFormat="1" applyFont="1" applyFill="1" applyBorder="1" applyAlignment="1">
      <alignment horizontal="right"/>
    </xf>
    <xf numFmtId="4" fontId="15" fillId="0" borderId="32" xfId="0" applyNumberFormat="1" applyFont="1" applyFill="1" applyBorder="1" applyAlignment="1">
      <alignment horizontal="left"/>
    </xf>
    <xf numFmtId="4" fontId="15" fillId="0" borderId="35" xfId="0" applyNumberFormat="1" applyFont="1" applyBorder="1"/>
    <xf numFmtId="4" fontId="15" fillId="0" borderId="0" xfId="0" applyNumberFormat="1" applyFont="1" applyBorder="1"/>
    <xf numFmtId="4" fontId="19" fillId="0" borderId="0" xfId="0" applyNumberFormat="1" applyFont="1" applyBorder="1"/>
    <xf numFmtId="4" fontId="19" fillId="0" borderId="37" xfId="0" applyNumberFormat="1" applyFont="1" applyBorder="1"/>
    <xf numFmtId="4" fontId="22" fillId="0" borderId="0" xfId="0" applyNumberFormat="1" applyFont="1" applyBorder="1" applyAlignment="1">
      <alignment horizontal="center"/>
    </xf>
    <xf numFmtId="4" fontId="28" fillId="0" borderId="0" xfId="0" applyNumberFormat="1" applyFont="1" applyFill="1"/>
    <xf numFmtId="2" fontId="15" fillId="0" borderId="39" xfId="0" applyNumberFormat="1" applyFont="1" applyFill="1" applyBorder="1" applyAlignment="1">
      <alignment horizontal="right"/>
    </xf>
    <xf numFmtId="2" fontId="15" fillId="0" borderId="19" xfId="0" applyNumberFormat="1" applyFont="1" applyFill="1" applyBorder="1" applyAlignment="1">
      <alignment horizontal="right"/>
    </xf>
    <xf numFmtId="1" fontId="15" fillId="3" borderId="29" xfId="0" applyNumberFormat="1" applyFont="1" applyFill="1" applyBorder="1" applyAlignment="1">
      <alignment horizontal="center"/>
    </xf>
    <xf numFmtId="2" fontId="15" fillId="0" borderId="40" xfId="0" applyNumberFormat="1" applyFont="1" applyFill="1" applyBorder="1" applyAlignment="1">
      <alignment horizontal="right"/>
    </xf>
    <xf numFmtId="1" fontId="19" fillId="3" borderId="29" xfId="0" applyNumberFormat="1" applyFont="1" applyFill="1" applyBorder="1" applyAlignment="1" applyProtection="1">
      <alignment horizontal="center"/>
      <protection locked="0"/>
    </xf>
    <xf numFmtId="1" fontId="19" fillId="3" borderId="27" xfId="0" applyNumberFormat="1" applyFont="1" applyFill="1" applyBorder="1" applyAlignment="1" applyProtection="1">
      <alignment horizontal="center"/>
      <protection locked="0"/>
    </xf>
    <xf numFmtId="170" fontId="28" fillId="0" borderId="0" xfId="0" applyNumberFormat="1" applyFont="1" applyFill="1"/>
    <xf numFmtId="0" fontId="0" fillId="0" borderId="12" xfId="0" applyFill="1" applyBorder="1"/>
    <xf numFmtId="4" fontId="21" fillId="0" borderId="30" xfId="0" applyNumberFormat="1" applyFont="1" applyBorder="1" applyAlignment="1">
      <alignment horizontal="center"/>
    </xf>
    <xf numFmtId="2" fontId="12" fillId="0" borderId="31" xfId="0" applyNumberFormat="1" applyFont="1" applyFill="1" applyBorder="1" applyAlignment="1">
      <alignment horizontal="right"/>
    </xf>
    <xf numFmtId="2" fontId="8" fillId="0" borderId="31" xfId="0" applyNumberFormat="1" applyFont="1" applyFill="1" applyBorder="1" applyAlignment="1">
      <alignment horizontal="left"/>
    </xf>
    <xf numFmtId="4" fontId="8" fillId="0" borderId="31" xfId="0" applyNumberFormat="1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 horizontal="left"/>
    </xf>
    <xf numFmtId="4" fontId="15" fillId="0" borderId="41" xfId="0" applyNumberFormat="1" applyFont="1" applyBorder="1"/>
    <xf numFmtId="2" fontId="15" fillId="0" borderId="35" xfId="0" applyNumberFormat="1" applyFont="1" applyFill="1" applyBorder="1" applyAlignment="1">
      <alignment horizontal="right"/>
    </xf>
    <xf numFmtId="4" fontId="24" fillId="0" borderId="25" xfId="0" applyNumberFormat="1" applyFont="1" applyBorder="1"/>
    <xf numFmtId="4" fontId="8" fillId="0" borderId="31" xfId="0" applyNumberFormat="1" applyFont="1" applyBorder="1"/>
    <xf numFmtId="4" fontId="24" fillId="0" borderId="32" xfId="0" applyNumberFormat="1" applyFont="1" applyBorder="1"/>
    <xf numFmtId="2" fontId="16" fillId="0" borderId="0" xfId="0" applyNumberFormat="1" applyFont="1" applyFill="1" applyAlignment="1">
      <alignment horizontal="right"/>
    </xf>
    <xf numFmtId="4" fontId="21" fillId="0" borderId="0" xfId="0" applyNumberFormat="1" applyFont="1"/>
    <xf numFmtId="4" fontId="32" fillId="0" borderId="33" xfId="0" applyNumberFormat="1" applyFont="1" applyBorder="1"/>
    <xf numFmtId="4" fontId="32" fillId="0" borderId="34" xfId="0" applyNumberFormat="1" applyFont="1" applyBorder="1"/>
    <xf numFmtId="169" fontId="32" fillId="0" borderId="26" xfId="0" applyNumberFormat="1" applyFont="1" applyFill="1" applyBorder="1" applyAlignment="1">
      <alignment horizontal="right"/>
    </xf>
    <xf numFmtId="4" fontId="33" fillId="0" borderId="29" xfId="0" applyNumberFormat="1" applyFont="1" applyBorder="1"/>
    <xf numFmtId="0" fontId="35" fillId="0" borderId="0" xfId="0" applyFont="1"/>
    <xf numFmtId="0" fontId="27" fillId="4" borderId="37" xfId="0" applyFont="1" applyFill="1" applyBorder="1"/>
    <xf numFmtId="0" fontId="27" fillId="4" borderId="0" xfId="0" applyFont="1" applyFill="1" applyBorder="1"/>
    <xf numFmtId="0" fontId="27" fillId="4" borderId="2" xfId="0" applyFont="1" applyFill="1" applyBorder="1"/>
    <xf numFmtId="0" fontId="27" fillId="4" borderId="38" xfId="0" applyFont="1" applyFill="1" applyBorder="1"/>
    <xf numFmtId="0" fontId="33" fillId="4" borderId="42" xfId="0" applyFont="1" applyFill="1" applyBorder="1"/>
    <xf numFmtId="0" fontId="38" fillId="4" borderId="3" xfId="0" applyFont="1" applyFill="1" applyBorder="1"/>
    <xf numFmtId="3" fontId="39" fillId="0" borderId="0" xfId="0" applyNumberFormat="1" applyFont="1"/>
    <xf numFmtId="4" fontId="39" fillId="0" borderId="0" xfId="0" applyNumberFormat="1" applyFont="1"/>
    <xf numFmtId="4" fontId="32" fillId="0" borderId="13" xfId="0" applyNumberFormat="1" applyFont="1" applyFill="1" applyBorder="1"/>
    <xf numFmtId="4" fontId="32" fillId="0" borderId="43" xfId="0" applyNumberFormat="1" applyFont="1" applyFill="1" applyBorder="1"/>
    <xf numFmtId="4" fontId="33" fillId="0" borderId="30" xfId="0" applyNumberFormat="1" applyFont="1" applyFill="1" applyBorder="1"/>
    <xf numFmtId="4" fontId="20" fillId="0" borderId="26" xfId="0" applyNumberFormat="1" applyFont="1" applyFill="1" applyBorder="1"/>
    <xf numFmtId="4" fontId="28" fillId="0" borderId="26" xfId="0" applyNumberFormat="1" applyFont="1" applyFill="1" applyBorder="1"/>
    <xf numFmtId="4" fontId="29" fillId="0" borderId="26" xfId="0" applyNumberFormat="1" applyFont="1" applyBorder="1"/>
    <xf numFmtId="3" fontId="10" fillId="0" borderId="26" xfId="0" applyNumberFormat="1" applyFont="1" applyBorder="1"/>
    <xf numFmtId="4" fontId="20" fillId="0" borderId="26" xfId="0" applyNumberFormat="1" applyFont="1" applyFill="1" applyBorder="1" applyAlignment="1">
      <alignment wrapText="1"/>
    </xf>
    <xf numFmtId="4" fontId="42" fillId="0" borderId="26" xfId="0" applyNumberFormat="1" applyFont="1" applyFill="1" applyBorder="1"/>
    <xf numFmtId="4" fontId="42" fillId="0" borderId="25" xfId="0" applyNumberFormat="1" applyFont="1" applyFill="1" applyBorder="1" applyAlignment="1">
      <alignment horizontal="right"/>
    </xf>
    <xf numFmtId="4" fontId="41" fillId="0" borderId="27" xfId="0" applyNumberFormat="1" applyFont="1" applyBorder="1" applyAlignment="1">
      <alignment horizontal="right"/>
    </xf>
    <xf numFmtId="4" fontId="33" fillId="0" borderId="0" xfId="0" applyNumberFormat="1" applyFont="1" applyBorder="1"/>
    <xf numFmtId="3" fontId="9" fillId="0" borderId="0" xfId="0" applyNumberFormat="1" applyFont="1" applyBorder="1"/>
    <xf numFmtId="4" fontId="42" fillId="0" borderId="29" xfId="0" applyNumberFormat="1" applyFont="1" applyFill="1" applyBorder="1"/>
    <xf numFmtId="4" fontId="43" fillId="0" borderId="0" xfId="0" applyNumberFormat="1" applyFont="1" applyFill="1"/>
    <xf numFmtId="3" fontId="44" fillId="0" borderId="0" xfId="0" applyNumberFormat="1" applyFont="1"/>
    <xf numFmtId="2" fontId="45" fillId="5" borderId="0" xfId="0" applyNumberFormat="1" applyFont="1" applyFill="1" applyBorder="1" applyAlignment="1" applyProtection="1">
      <alignment horizontal="right"/>
      <protection locked="0"/>
    </xf>
    <xf numFmtId="2" fontId="6" fillId="3" borderId="29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center"/>
    </xf>
    <xf numFmtId="4" fontId="4" fillId="0" borderId="0" xfId="0" applyNumberFormat="1" applyFont="1"/>
    <xf numFmtId="4" fontId="32" fillId="0" borderId="3" xfId="0" applyNumberFormat="1" applyFont="1" applyFill="1" applyBorder="1" applyAlignment="1">
      <alignment horizontal="right"/>
    </xf>
    <xf numFmtId="4" fontId="32" fillId="0" borderId="26" xfId="0" applyNumberFormat="1" applyFont="1" applyFill="1" applyBorder="1" applyAlignment="1">
      <alignment horizontal="right"/>
    </xf>
    <xf numFmtId="4" fontId="15" fillId="0" borderId="31" xfId="0" applyNumberFormat="1" applyFont="1" applyBorder="1"/>
    <xf numFmtId="172" fontId="11" fillId="0" borderId="15" xfId="1" applyNumberFormat="1" applyFont="1" applyBorder="1" applyProtection="1"/>
    <xf numFmtId="3" fontId="46" fillId="0" borderId="0" xfId="0" applyNumberFormat="1" applyFont="1" applyAlignment="1">
      <alignment horizontal="center"/>
    </xf>
    <xf numFmtId="4" fontId="47" fillId="0" borderId="0" xfId="0" applyNumberFormat="1" applyFont="1" applyFill="1"/>
    <xf numFmtId="4" fontId="46" fillId="0" borderId="0" xfId="0" applyNumberFormat="1" applyFont="1"/>
    <xf numFmtId="168" fontId="6" fillId="3" borderId="29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4" fontId="22" fillId="0" borderId="0" xfId="0" applyNumberFormat="1" applyFont="1" applyBorder="1" applyAlignment="1">
      <alignment horizontal="center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2" fontId="14" fillId="3" borderId="32" xfId="0" applyNumberFormat="1" applyFont="1" applyFill="1" applyBorder="1" applyAlignment="1">
      <alignment horizontal="left"/>
    </xf>
    <xf numFmtId="0" fontId="11" fillId="0" borderId="0" xfId="0" applyFont="1"/>
    <xf numFmtId="4" fontId="32" fillId="0" borderId="3" xfId="0" applyNumberFormat="1" applyFont="1" applyFill="1" applyBorder="1"/>
    <xf numFmtId="164" fontId="11" fillId="0" borderId="16" xfId="1" applyFont="1" applyBorder="1" applyAlignment="1">
      <alignment horizontal="center"/>
    </xf>
    <xf numFmtId="17" fontId="50" fillId="0" borderId="0" xfId="0" applyNumberFormat="1" applyFont="1"/>
    <xf numFmtId="0" fontId="50" fillId="0" borderId="12" xfId="0" applyFont="1" applyBorder="1"/>
    <xf numFmtId="0" fontId="50" fillId="9" borderId="12" xfId="0" applyFont="1" applyFill="1" applyBorder="1"/>
    <xf numFmtId="4" fontId="21" fillId="10" borderId="35" xfId="0" applyNumberFormat="1" applyFont="1" applyFill="1" applyBorder="1"/>
    <xf numFmtId="0" fontId="0" fillId="0" borderId="0" xfId="0"/>
    <xf numFmtId="0" fontId="0" fillId="9" borderId="0" xfId="0" applyFill="1"/>
    <xf numFmtId="0" fontId="51" fillId="0" borderId="0" xfId="0" applyFont="1"/>
    <xf numFmtId="164" fontId="4" fillId="2" borderId="41" xfId="1" applyFont="1" applyFill="1" applyBorder="1"/>
    <xf numFmtId="39" fontId="17" fillId="2" borderId="49" xfId="0" applyNumberFormat="1" applyFont="1" applyFill="1" applyBorder="1" applyProtection="1"/>
    <xf numFmtId="39" fontId="17" fillId="2" borderId="48" xfId="0" applyNumberFormat="1" applyFont="1" applyFill="1" applyBorder="1" applyProtection="1"/>
    <xf numFmtId="164" fontId="4" fillId="2" borderId="3" xfId="1" applyFont="1" applyFill="1" applyBorder="1"/>
    <xf numFmtId="0" fontId="0" fillId="2" borderId="2" xfId="0" applyFill="1" applyBorder="1"/>
    <xf numFmtId="164" fontId="4" fillId="2" borderId="42" xfId="1" applyFont="1" applyFill="1" applyBorder="1"/>
    <xf numFmtId="0" fontId="0" fillId="2" borderId="37" xfId="0" applyFill="1" applyBorder="1"/>
    <xf numFmtId="0" fontId="0" fillId="2" borderId="38" xfId="0" applyFill="1" applyBorder="1"/>
    <xf numFmtId="164" fontId="0" fillId="0" borderId="39" xfId="1" applyFont="1" applyBorder="1"/>
    <xf numFmtId="164" fontId="0" fillId="0" borderId="39" xfId="1" applyFont="1" applyBorder="1" applyAlignment="1">
      <alignment horizontal="center"/>
    </xf>
    <xf numFmtId="164" fontId="0" fillId="2" borderId="35" xfId="1" applyFont="1" applyFill="1" applyBorder="1"/>
    <xf numFmtId="0" fontId="0" fillId="2" borderId="35" xfId="0" applyFill="1" applyBorder="1"/>
    <xf numFmtId="0" fontId="0" fillId="2" borderId="36" xfId="0" applyFill="1" applyBorder="1"/>
    <xf numFmtId="164" fontId="0" fillId="2" borderId="37" xfId="1" applyFont="1" applyFill="1" applyBorder="1"/>
    <xf numFmtId="0" fontId="0" fillId="0" borderId="0" xfId="0"/>
    <xf numFmtId="0" fontId="52" fillId="0" borderId="19" xfId="0" applyFont="1" applyBorder="1" applyAlignment="1">
      <alignment horizontal="center"/>
    </xf>
    <xf numFmtId="164" fontId="52" fillId="0" borderId="12" xfId="0" applyNumberFormat="1" applyFont="1" applyBorder="1" applyAlignment="1">
      <alignment horizontal="right"/>
    </xf>
    <xf numFmtId="0" fontId="27" fillId="6" borderId="3" xfId="0" applyFont="1" applyFill="1" applyBorder="1" applyAlignment="1">
      <alignment horizontal="left" vertical="top" wrapText="1"/>
    </xf>
    <xf numFmtId="0" fontId="27" fillId="6" borderId="0" xfId="0" applyFont="1" applyFill="1" applyBorder="1" applyAlignment="1">
      <alignment horizontal="left" vertical="top" wrapText="1"/>
    </xf>
    <xf numFmtId="0" fontId="27" fillId="6" borderId="2" xfId="0" applyFont="1" applyFill="1" applyBorder="1" applyAlignment="1">
      <alignment horizontal="left" vertical="top" wrapText="1"/>
    </xf>
    <xf numFmtId="0" fontId="27" fillId="6" borderId="42" xfId="0" applyFont="1" applyFill="1" applyBorder="1" applyAlignment="1">
      <alignment horizontal="left" vertical="top" wrapText="1"/>
    </xf>
    <xf numFmtId="0" fontId="27" fillId="6" borderId="37" xfId="0" applyFont="1" applyFill="1" applyBorder="1" applyAlignment="1">
      <alignment horizontal="left" vertical="top" wrapText="1"/>
    </xf>
    <xf numFmtId="0" fontId="27" fillId="6" borderId="38" xfId="0" applyFont="1" applyFill="1" applyBorder="1" applyAlignment="1">
      <alignment horizontal="left" vertical="top" wrapText="1"/>
    </xf>
    <xf numFmtId="0" fontId="27" fillId="6" borderId="41" xfId="0" applyFont="1" applyFill="1" applyBorder="1" applyAlignment="1">
      <alignment horizontal="center"/>
    </xf>
    <xf numFmtId="0" fontId="27" fillId="6" borderId="35" xfId="0" applyFont="1" applyFill="1" applyBorder="1" applyAlignment="1">
      <alignment horizontal="center"/>
    </xf>
    <xf numFmtId="0" fontId="27" fillId="6" borderId="36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left"/>
    </xf>
    <xf numFmtId="0" fontId="27" fillId="7" borderId="35" xfId="0" applyFont="1" applyFill="1" applyBorder="1" applyAlignment="1">
      <alignment horizontal="left"/>
    </xf>
    <xf numFmtId="0" fontId="27" fillId="7" borderId="36" xfId="0" applyFont="1" applyFill="1" applyBorder="1" applyAlignment="1">
      <alignment horizontal="left"/>
    </xf>
    <xf numFmtId="0" fontId="27" fillId="7" borderId="3" xfId="0" applyFont="1" applyFill="1" applyBorder="1" applyAlignment="1">
      <alignment horizontal="left"/>
    </xf>
    <xf numFmtId="0" fontId="27" fillId="7" borderId="0" xfId="0" applyFont="1" applyFill="1" applyBorder="1" applyAlignment="1">
      <alignment horizontal="left"/>
    </xf>
    <xf numFmtId="0" fontId="27" fillId="7" borderId="2" xfId="0" applyFont="1" applyFill="1" applyBorder="1" applyAlignment="1">
      <alignment horizontal="left"/>
    </xf>
    <xf numFmtId="0" fontId="27" fillId="7" borderId="42" xfId="0" applyFont="1" applyFill="1" applyBorder="1" applyAlignment="1">
      <alignment horizontal="left"/>
    </xf>
    <xf numFmtId="0" fontId="27" fillId="7" borderId="37" xfId="0" applyFont="1" applyFill="1" applyBorder="1" applyAlignment="1">
      <alignment horizontal="left"/>
    </xf>
    <xf numFmtId="0" fontId="27" fillId="7" borderId="38" xfId="0" applyFont="1" applyFill="1" applyBorder="1" applyAlignment="1">
      <alignment horizontal="left"/>
    </xf>
    <xf numFmtId="0" fontId="11" fillId="9" borderId="41" xfId="0" applyFont="1" applyFill="1" applyBorder="1" applyAlignment="1">
      <alignment vertical="center" wrapText="1"/>
    </xf>
    <xf numFmtId="0" fontId="0" fillId="9" borderId="35" xfId="0" applyFill="1" applyBorder="1" applyAlignment="1">
      <alignment vertical="center" wrapText="1"/>
    </xf>
    <xf numFmtId="0" fontId="0" fillId="9" borderId="36" xfId="0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0" fillId="9" borderId="42" xfId="0" applyFill="1" applyBorder="1" applyAlignment="1">
      <alignment vertical="center" wrapText="1"/>
    </xf>
    <xf numFmtId="0" fontId="0" fillId="9" borderId="37" xfId="0" applyFill="1" applyBorder="1" applyAlignment="1">
      <alignment vertical="center" wrapText="1"/>
    </xf>
    <xf numFmtId="0" fontId="0" fillId="9" borderId="38" xfId="0" applyFill="1" applyBorder="1" applyAlignment="1">
      <alignment vertical="center" wrapText="1"/>
    </xf>
    <xf numFmtId="0" fontId="24" fillId="6" borderId="41" xfId="0" applyFont="1" applyFill="1" applyBorder="1" applyAlignment="1">
      <alignment wrapText="1"/>
    </xf>
    <xf numFmtId="0" fontId="24" fillId="6" borderId="35" xfId="0" applyFont="1" applyFill="1" applyBorder="1" applyAlignment="1">
      <alignment wrapText="1"/>
    </xf>
    <xf numFmtId="0" fontId="24" fillId="6" borderId="36" xfId="0" applyFont="1" applyFill="1" applyBorder="1" applyAlignment="1">
      <alignment wrapText="1"/>
    </xf>
    <xf numFmtId="0" fontId="24" fillId="6" borderId="42" xfId="0" applyFont="1" applyFill="1" applyBorder="1" applyAlignment="1">
      <alignment wrapText="1"/>
    </xf>
    <xf numFmtId="0" fontId="24" fillId="6" borderId="37" xfId="0" applyFont="1" applyFill="1" applyBorder="1" applyAlignment="1">
      <alignment wrapText="1"/>
    </xf>
    <xf numFmtId="0" fontId="24" fillId="6" borderId="38" xfId="0" applyFont="1" applyFill="1" applyBorder="1" applyAlignment="1">
      <alignment wrapText="1"/>
    </xf>
    <xf numFmtId="0" fontId="36" fillId="4" borderId="41" xfId="0" applyFont="1" applyFill="1" applyBorder="1" applyAlignment="1">
      <alignment horizontal="center"/>
    </xf>
    <xf numFmtId="0" fontId="36" fillId="4" borderId="35" xfId="0" applyFont="1" applyFill="1" applyBorder="1" applyAlignment="1">
      <alignment horizontal="center"/>
    </xf>
    <xf numFmtId="0" fontId="36" fillId="4" borderId="36" xfId="0" applyFont="1" applyFill="1" applyBorder="1" applyAlignment="1">
      <alignment horizontal="center"/>
    </xf>
    <xf numFmtId="0" fontId="37" fillId="4" borderId="3" xfId="0" applyFont="1" applyFill="1" applyBorder="1"/>
    <xf numFmtId="0" fontId="37" fillId="4" borderId="0" xfId="0" applyFont="1" applyFill="1" applyBorder="1"/>
    <xf numFmtId="0" fontId="37" fillId="4" borderId="2" xfId="0" applyFont="1" applyFill="1" applyBorder="1"/>
    <xf numFmtId="0" fontId="27" fillId="4" borderId="3" xfId="0" applyFont="1" applyFill="1" applyBorder="1"/>
    <xf numFmtId="0" fontId="27" fillId="4" borderId="0" xfId="0" applyFont="1" applyFill="1" applyBorder="1"/>
    <xf numFmtId="0" fontId="27" fillId="4" borderId="2" xfId="0" applyFont="1" applyFill="1" applyBorder="1"/>
    <xf numFmtId="0" fontId="35" fillId="0" borderId="31" xfId="0" applyFont="1" applyBorder="1"/>
    <xf numFmtId="0" fontId="27" fillId="4" borderId="41" xfId="0" applyFont="1" applyFill="1" applyBorder="1" applyAlignment="1">
      <alignment vertical="top" wrapText="1"/>
    </xf>
    <xf numFmtId="0" fontId="27" fillId="4" borderId="35" xfId="0" applyFont="1" applyFill="1" applyBorder="1" applyAlignment="1">
      <alignment vertical="top" wrapText="1"/>
    </xf>
    <xf numFmtId="0" fontId="27" fillId="4" borderId="36" xfId="0" applyFont="1" applyFill="1" applyBorder="1" applyAlignment="1">
      <alignment vertical="top" wrapText="1"/>
    </xf>
    <xf numFmtId="0" fontId="27" fillId="4" borderId="3" xfId="0" applyFont="1" applyFill="1" applyBorder="1" applyAlignment="1">
      <alignment vertical="top" wrapText="1"/>
    </xf>
    <xf numFmtId="0" fontId="27" fillId="4" borderId="0" xfId="0" applyFont="1" applyFill="1" applyBorder="1" applyAlignment="1">
      <alignment vertical="top" wrapText="1"/>
    </xf>
    <xf numFmtId="0" fontId="27" fillId="4" borderId="2" xfId="0" applyFont="1" applyFill="1" applyBorder="1" applyAlignment="1">
      <alignment vertical="top" wrapText="1"/>
    </xf>
    <xf numFmtId="0" fontId="27" fillId="4" borderId="42" xfId="0" applyFont="1" applyFill="1" applyBorder="1" applyAlignment="1">
      <alignment vertical="top" wrapText="1"/>
    </xf>
    <xf numFmtId="0" fontId="27" fillId="4" borderId="37" xfId="0" applyFont="1" applyFill="1" applyBorder="1" applyAlignment="1">
      <alignment vertical="top" wrapText="1"/>
    </xf>
    <xf numFmtId="0" fontId="27" fillId="4" borderId="38" xfId="0" applyFont="1" applyFill="1" applyBorder="1" applyAlignment="1">
      <alignment vertical="top" wrapText="1"/>
    </xf>
    <xf numFmtId="0" fontId="27" fillId="6" borderId="41" xfId="0" applyFont="1" applyFill="1" applyBorder="1" applyAlignment="1">
      <alignment vertical="top" wrapText="1"/>
    </xf>
    <xf numFmtId="0" fontId="27" fillId="6" borderId="35" xfId="0" applyFont="1" applyFill="1" applyBorder="1" applyAlignment="1">
      <alignment vertical="top" wrapText="1"/>
    </xf>
    <xf numFmtId="0" fontId="27" fillId="6" borderId="36" xfId="0" applyFont="1" applyFill="1" applyBorder="1" applyAlignment="1">
      <alignment vertical="top" wrapText="1"/>
    </xf>
    <xf numFmtId="0" fontId="27" fillId="6" borderId="3" xfId="0" applyFont="1" applyFill="1" applyBorder="1" applyAlignment="1">
      <alignment vertical="top" wrapText="1"/>
    </xf>
    <xf numFmtId="0" fontId="27" fillId="6" borderId="0" xfId="0" applyFont="1" applyFill="1" applyBorder="1" applyAlignment="1">
      <alignment vertical="top" wrapText="1"/>
    </xf>
    <xf numFmtId="0" fontId="27" fillId="6" borderId="2" xfId="0" applyFont="1" applyFill="1" applyBorder="1" applyAlignment="1">
      <alignment vertical="top" wrapText="1"/>
    </xf>
    <xf numFmtId="0" fontId="27" fillId="6" borderId="42" xfId="0" applyFont="1" applyFill="1" applyBorder="1" applyAlignment="1">
      <alignment vertical="top" wrapText="1"/>
    </xf>
    <xf numFmtId="0" fontId="27" fillId="6" borderId="37" xfId="0" applyFont="1" applyFill="1" applyBorder="1" applyAlignment="1">
      <alignment vertical="top" wrapText="1"/>
    </xf>
    <xf numFmtId="0" fontId="27" fillId="6" borderId="38" xfId="0" applyFont="1" applyFill="1" applyBorder="1" applyAlignment="1">
      <alignment vertical="top" wrapText="1"/>
    </xf>
    <xf numFmtId="0" fontId="0" fillId="0" borderId="31" xfId="0" applyBorder="1"/>
    <xf numFmtId="0" fontId="0" fillId="0" borderId="37" xfId="0" applyBorder="1"/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0" borderId="31" xfId="0" applyFont="1" applyBorder="1"/>
    <xf numFmtId="0" fontId="0" fillId="0" borderId="35" xfId="0" applyBorder="1"/>
    <xf numFmtId="0" fontId="27" fillId="4" borderId="42" xfId="0" applyFont="1" applyFill="1" applyBorder="1"/>
    <xf numFmtId="0" fontId="27" fillId="4" borderId="37" xfId="0" applyFont="1" applyFill="1" applyBorder="1"/>
    <xf numFmtId="0" fontId="27" fillId="4" borderId="38" xfId="0" applyFont="1" applyFill="1" applyBorder="1"/>
    <xf numFmtId="0" fontId="27" fillId="4" borderId="41" xfId="0" applyFont="1" applyFill="1" applyBorder="1"/>
    <xf numFmtId="0" fontId="27" fillId="4" borderId="35" xfId="0" applyFont="1" applyFill="1" applyBorder="1"/>
    <xf numFmtId="0" fontId="27" fillId="4" borderId="36" xfId="0" applyFont="1" applyFill="1" applyBorder="1"/>
    <xf numFmtId="0" fontId="0" fillId="0" borderId="0" xfId="0"/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4" fontId="22" fillId="0" borderId="3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1" fontId="16" fillId="0" borderId="37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center" wrapText="1"/>
    </xf>
    <xf numFmtId="4" fontId="31" fillId="0" borderId="27" xfId="0" applyNumberFormat="1" applyFont="1" applyBorder="1" applyAlignment="1">
      <alignment horizontal="center" wrapText="1"/>
    </xf>
    <xf numFmtId="2" fontId="30" fillId="0" borderId="44" xfId="0" applyNumberFormat="1" applyFont="1" applyFill="1" applyBorder="1" applyAlignment="1">
      <alignment horizontal="left" vertical="top" wrapText="1"/>
    </xf>
    <xf numFmtId="2" fontId="30" fillId="0" borderId="45" xfId="0" applyNumberFormat="1" applyFont="1" applyFill="1" applyBorder="1" applyAlignment="1">
      <alignment horizontal="left" vertical="top" wrapText="1"/>
    </xf>
    <xf numFmtId="2" fontId="30" fillId="0" borderId="46" xfId="0" applyNumberFormat="1" applyFont="1" applyFill="1" applyBorder="1" applyAlignment="1">
      <alignment horizontal="left" vertical="top" wrapText="1"/>
    </xf>
    <xf numFmtId="2" fontId="30" fillId="0" borderId="21" xfId="0" applyNumberFormat="1" applyFont="1" applyFill="1" applyBorder="1" applyAlignment="1">
      <alignment horizontal="left" vertical="top" wrapText="1"/>
    </xf>
    <xf numFmtId="2" fontId="30" fillId="0" borderId="0" xfId="0" applyNumberFormat="1" applyFont="1" applyFill="1" applyBorder="1" applyAlignment="1">
      <alignment horizontal="left" vertical="top" wrapText="1"/>
    </xf>
    <xf numFmtId="2" fontId="30" fillId="0" borderId="22" xfId="0" applyNumberFormat="1" applyFont="1" applyFill="1" applyBorder="1" applyAlignment="1">
      <alignment horizontal="left" vertical="top" wrapText="1"/>
    </xf>
    <xf numFmtId="2" fontId="30" fillId="0" borderId="23" xfId="0" applyNumberFormat="1" applyFont="1" applyFill="1" applyBorder="1" applyAlignment="1">
      <alignment horizontal="left" vertical="top" wrapText="1"/>
    </xf>
    <xf numFmtId="2" fontId="30" fillId="0" borderId="1" xfId="0" applyNumberFormat="1" applyFont="1" applyFill="1" applyBorder="1" applyAlignment="1">
      <alignment horizontal="left" vertical="top" wrapText="1"/>
    </xf>
    <xf numFmtId="2" fontId="30" fillId="0" borderId="24" xfId="0" applyNumberFormat="1" applyFont="1" applyFill="1" applyBorder="1" applyAlignment="1">
      <alignment horizontal="left" vertical="top" wrapText="1"/>
    </xf>
    <xf numFmtId="4" fontId="40" fillId="0" borderId="25" xfId="0" applyNumberFormat="1" applyFont="1" applyFill="1" applyBorder="1" applyAlignment="1">
      <alignment horizontal="center" vertical="top" wrapText="1"/>
    </xf>
    <xf numFmtId="4" fontId="40" fillId="0" borderId="27" xfId="0" applyNumberFormat="1" applyFont="1" applyFill="1" applyBorder="1" applyAlignment="1">
      <alignment horizontal="center" vertical="top" wrapText="1"/>
    </xf>
    <xf numFmtId="4" fontId="40" fillId="0" borderId="26" xfId="0" applyNumberFormat="1" applyFont="1" applyFill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2" fontId="14" fillId="3" borderId="32" xfId="0" applyNumberFormat="1" applyFont="1" applyFill="1" applyBorder="1" applyAlignment="1">
      <alignment horizontal="left"/>
    </xf>
    <xf numFmtId="4" fontId="31" fillId="0" borderId="41" xfId="0" applyNumberFormat="1" applyFont="1" applyBorder="1" applyAlignment="1">
      <alignment horizontal="center" wrapText="1"/>
    </xf>
    <xf numFmtId="4" fontId="31" fillId="0" borderId="42" xfId="0" applyNumberFormat="1" applyFont="1" applyBorder="1" applyAlignment="1">
      <alignment horizontal="center" wrapText="1"/>
    </xf>
    <xf numFmtId="0" fontId="3" fillId="8" borderId="17" xfId="0" applyFont="1" applyFill="1" applyBorder="1"/>
    <xf numFmtId="0" fontId="3" fillId="8" borderId="18" xfId="0" applyFont="1" applyFill="1" applyBorder="1"/>
    <xf numFmtId="0" fontId="3" fillId="8" borderId="47" xfId="0" applyFont="1" applyFill="1" applyBorder="1"/>
  </cellXfs>
  <cellStyles count="3">
    <cellStyle name="Komma" xfId="1" builtinId="3"/>
    <cellStyle name="Normal" xfId="0" builtinId="0"/>
    <cellStyle name="Udefiner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M29"/>
  <sheetViews>
    <sheetView showGridLines="0" showRowColHeaders="0" tabSelected="1" showOutlineSymbols="0" zoomScaleNormal="100" workbookViewId="0">
      <selection sqref="A1:E1"/>
    </sheetView>
  </sheetViews>
  <sheetFormatPr defaultRowHeight="15"/>
  <cols>
    <col min="5" max="5" width="1.44140625" customWidth="1"/>
    <col min="6" max="6" width="1.109375" customWidth="1"/>
    <col min="9" max="9" width="10.33203125" customWidth="1"/>
    <col min="10" max="10" width="1.21875" customWidth="1"/>
  </cols>
  <sheetData>
    <row r="1" spans="1:13" ht="16.5" thickBot="1">
      <c r="A1" s="293" t="s">
        <v>45</v>
      </c>
      <c r="B1" s="294"/>
      <c r="C1" s="294"/>
      <c r="D1" s="294"/>
      <c r="E1" s="295"/>
      <c r="F1" s="304"/>
      <c r="G1" s="305" t="s">
        <v>56</v>
      </c>
      <c r="H1" s="306"/>
      <c r="I1" s="307"/>
      <c r="K1" s="236" t="s">
        <v>133</v>
      </c>
      <c r="L1" s="237"/>
      <c r="M1" s="238"/>
    </row>
    <row r="2" spans="1:13" ht="8.1" customHeight="1" thickBot="1">
      <c r="A2" s="291"/>
      <c r="B2" s="291"/>
      <c r="C2" s="291"/>
      <c r="D2" s="291"/>
      <c r="E2" s="291"/>
      <c r="F2" s="304"/>
      <c r="G2" s="296"/>
      <c r="H2" s="296"/>
      <c r="I2" s="296"/>
    </row>
    <row r="3" spans="1:13" ht="15.75">
      <c r="A3" s="282" t="s">
        <v>126</v>
      </c>
      <c r="B3" s="283"/>
      <c r="C3" s="283"/>
      <c r="D3" s="283"/>
      <c r="E3" s="284"/>
      <c r="F3" s="304"/>
      <c r="G3" s="301" t="s">
        <v>58</v>
      </c>
      <c r="H3" s="302"/>
      <c r="I3" s="303"/>
      <c r="K3" s="239" t="s">
        <v>134</v>
      </c>
      <c r="L3" s="240"/>
      <c r="M3" s="241"/>
    </row>
    <row r="4" spans="1:13" ht="15.75">
      <c r="A4" s="285"/>
      <c r="B4" s="286"/>
      <c r="C4" s="286"/>
      <c r="D4" s="286"/>
      <c r="E4" s="287"/>
      <c r="F4" s="304"/>
      <c r="G4" s="269" t="s">
        <v>57</v>
      </c>
      <c r="H4" s="270"/>
      <c r="I4" s="271"/>
      <c r="K4" s="242" t="s">
        <v>157</v>
      </c>
      <c r="L4" s="243"/>
      <c r="M4" s="244"/>
    </row>
    <row r="5" spans="1:13" ht="16.5" thickBot="1">
      <c r="A5" s="285"/>
      <c r="B5" s="286"/>
      <c r="C5" s="286"/>
      <c r="D5" s="286"/>
      <c r="E5" s="287"/>
      <c r="F5" s="304"/>
      <c r="G5" s="269" t="s">
        <v>108</v>
      </c>
      <c r="H5" s="270"/>
      <c r="I5" s="271"/>
      <c r="K5" s="245" t="s">
        <v>158</v>
      </c>
      <c r="L5" s="246"/>
      <c r="M5" s="247"/>
    </row>
    <row r="6" spans="1:13" ht="16.5" thickBot="1">
      <c r="A6" s="285"/>
      <c r="B6" s="286"/>
      <c r="C6" s="286"/>
      <c r="D6" s="286"/>
      <c r="E6" s="287"/>
      <c r="F6" s="304"/>
      <c r="G6" s="269" t="s">
        <v>123</v>
      </c>
      <c r="H6" s="270"/>
      <c r="I6" s="271"/>
    </row>
    <row r="7" spans="1:13" ht="15.75">
      <c r="A7" s="285"/>
      <c r="B7" s="286"/>
      <c r="C7" s="286"/>
      <c r="D7" s="286"/>
      <c r="E7" s="287"/>
      <c r="F7" s="304"/>
      <c r="G7" s="269" t="s">
        <v>109</v>
      </c>
      <c r="H7" s="270"/>
      <c r="I7" s="271"/>
      <c r="K7" s="248" t="s">
        <v>142</v>
      </c>
      <c r="L7" s="249"/>
      <c r="M7" s="250"/>
    </row>
    <row r="8" spans="1:13" ht="15" customHeight="1">
      <c r="A8" s="285"/>
      <c r="B8" s="286"/>
      <c r="C8" s="286"/>
      <c r="D8" s="286"/>
      <c r="E8" s="287"/>
      <c r="F8" s="304"/>
      <c r="G8" s="269" t="s">
        <v>110</v>
      </c>
      <c r="H8" s="270"/>
      <c r="I8" s="271"/>
      <c r="K8" s="251"/>
      <c r="L8" s="252"/>
      <c r="M8" s="253"/>
    </row>
    <row r="9" spans="1:13" ht="16.5" thickBot="1">
      <c r="A9" s="285"/>
      <c r="B9" s="286"/>
      <c r="C9" s="286"/>
      <c r="D9" s="286"/>
      <c r="E9" s="287"/>
      <c r="F9" s="304"/>
      <c r="G9" s="298" t="s">
        <v>111</v>
      </c>
      <c r="H9" s="299"/>
      <c r="I9" s="300"/>
      <c r="K9" s="251"/>
      <c r="L9" s="252"/>
      <c r="M9" s="253"/>
    </row>
    <row r="10" spans="1:13" ht="8.25" customHeight="1" thickBot="1">
      <c r="A10" s="285"/>
      <c r="B10" s="286"/>
      <c r="C10" s="286"/>
      <c r="D10" s="286"/>
      <c r="E10" s="287"/>
      <c r="F10" s="304"/>
      <c r="G10" s="297"/>
      <c r="H10" s="297"/>
      <c r="I10" s="297"/>
      <c r="K10" s="251"/>
      <c r="L10" s="252"/>
      <c r="M10" s="253"/>
    </row>
    <row r="11" spans="1:13" ht="15.75" customHeight="1">
      <c r="A11" s="285"/>
      <c r="B11" s="286"/>
      <c r="C11" s="286"/>
      <c r="D11" s="286"/>
      <c r="E11" s="287"/>
      <c r="F11" s="304"/>
      <c r="G11" s="263" t="s">
        <v>114</v>
      </c>
      <c r="H11" s="264"/>
      <c r="I11" s="265"/>
      <c r="K11" s="251"/>
      <c r="L11" s="252"/>
      <c r="M11" s="253"/>
    </row>
    <row r="12" spans="1:13" ht="15" customHeight="1">
      <c r="A12" s="285"/>
      <c r="B12" s="286"/>
      <c r="C12" s="286"/>
      <c r="D12" s="286"/>
      <c r="E12" s="287"/>
      <c r="F12" s="304"/>
      <c r="G12" s="266" t="s">
        <v>112</v>
      </c>
      <c r="H12" s="267"/>
      <c r="I12" s="268"/>
      <c r="K12" s="251"/>
      <c r="L12" s="252"/>
      <c r="M12" s="253"/>
    </row>
    <row r="13" spans="1:13" ht="20.25" customHeight="1">
      <c r="A13" s="285"/>
      <c r="B13" s="286"/>
      <c r="C13" s="286"/>
      <c r="D13" s="286"/>
      <c r="E13" s="287"/>
      <c r="F13" s="304"/>
      <c r="G13" s="269" t="s">
        <v>113</v>
      </c>
      <c r="H13" s="270"/>
      <c r="I13" s="271"/>
      <c r="K13" s="251"/>
      <c r="L13" s="252"/>
      <c r="M13" s="253"/>
    </row>
    <row r="14" spans="1:13" ht="20.25" customHeight="1">
      <c r="A14" s="285"/>
      <c r="B14" s="286"/>
      <c r="C14" s="286"/>
      <c r="D14" s="286"/>
      <c r="E14" s="287"/>
      <c r="F14" s="304"/>
      <c r="G14" s="163" t="s">
        <v>124</v>
      </c>
      <c r="H14" s="159"/>
      <c r="I14" s="160"/>
      <c r="K14" s="251"/>
      <c r="L14" s="252"/>
      <c r="M14" s="253"/>
    </row>
    <row r="15" spans="1:13" ht="16.5" customHeight="1" thickBot="1">
      <c r="A15" s="288"/>
      <c r="B15" s="289"/>
      <c r="C15" s="289"/>
      <c r="D15" s="289"/>
      <c r="E15" s="290"/>
      <c r="F15" s="304"/>
      <c r="G15" s="162" t="s">
        <v>135</v>
      </c>
      <c r="H15" s="158"/>
      <c r="I15" s="161"/>
      <c r="K15" s="254"/>
      <c r="L15" s="255"/>
      <c r="M15" s="256"/>
    </row>
    <row r="16" spans="1:13" ht="8.1" customHeight="1" thickBot="1">
      <c r="A16" s="291"/>
      <c r="B16" s="291"/>
      <c r="C16" s="291"/>
      <c r="D16" s="291"/>
      <c r="E16" s="291"/>
      <c r="F16" s="292"/>
      <c r="G16" s="292"/>
      <c r="H16" s="292"/>
      <c r="I16" s="292"/>
    </row>
    <row r="17" spans="1:13" ht="15.75">
      <c r="A17" s="273" t="s">
        <v>122</v>
      </c>
      <c r="B17" s="274"/>
      <c r="C17" s="274"/>
      <c r="D17" s="274"/>
      <c r="E17" s="274"/>
      <c r="F17" s="274"/>
      <c r="G17" s="274"/>
      <c r="H17" s="274"/>
      <c r="I17" s="275"/>
      <c r="K17" s="233" t="s">
        <v>136</v>
      </c>
      <c r="L17" s="234"/>
      <c r="M17" s="235"/>
    </row>
    <row r="18" spans="1:13">
      <c r="A18" s="276"/>
      <c r="B18" s="277"/>
      <c r="C18" s="277"/>
      <c r="D18" s="277"/>
      <c r="E18" s="277"/>
      <c r="F18" s="277"/>
      <c r="G18" s="277"/>
      <c r="H18" s="277"/>
      <c r="I18" s="278"/>
      <c r="K18" s="227" t="s">
        <v>156</v>
      </c>
      <c r="L18" s="228"/>
      <c r="M18" s="229"/>
    </row>
    <row r="19" spans="1:13" ht="15.75" thickBot="1">
      <c r="A19" s="279"/>
      <c r="B19" s="280"/>
      <c r="C19" s="280"/>
      <c r="D19" s="280"/>
      <c r="E19" s="280"/>
      <c r="F19" s="280"/>
      <c r="G19" s="280"/>
      <c r="H19" s="280"/>
      <c r="I19" s="281"/>
      <c r="K19" s="227"/>
      <c r="L19" s="228"/>
      <c r="M19" s="229"/>
    </row>
    <row r="20" spans="1:13" ht="8.1" customHeight="1" thickBot="1">
      <c r="A20" s="272"/>
      <c r="B20" s="272"/>
      <c r="C20" s="272"/>
      <c r="D20" s="272"/>
      <c r="E20" s="272"/>
      <c r="F20" s="272"/>
      <c r="G20" s="272"/>
      <c r="H20" s="272"/>
      <c r="I20" s="272"/>
      <c r="K20" s="227"/>
      <c r="L20" s="228"/>
      <c r="M20" s="229"/>
    </row>
    <row r="21" spans="1:13" ht="15" customHeight="1">
      <c r="A21" s="273" t="s">
        <v>125</v>
      </c>
      <c r="B21" s="274"/>
      <c r="C21" s="274"/>
      <c r="D21" s="274"/>
      <c r="E21" s="274"/>
      <c r="F21" s="274"/>
      <c r="G21" s="274"/>
      <c r="H21" s="274"/>
      <c r="I21" s="275"/>
      <c r="K21" s="227"/>
      <c r="L21" s="228"/>
      <c r="M21" s="229"/>
    </row>
    <row r="22" spans="1:13" ht="15.75" thickBot="1">
      <c r="A22" s="279"/>
      <c r="B22" s="280"/>
      <c r="C22" s="280"/>
      <c r="D22" s="280"/>
      <c r="E22" s="280"/>
      <c r="F22" s="280"/>
      <c r="G22" s="280"/>
      <c r="H22" s="280"/>
      <c r="I22" s="281"/>
      <c r="K22" s="227"/>
      <c r="L22" s="228"/>
      <c r="M22" s="229"/>
    </row>
    <row r="23" spans="1:13" ht="6.75" customHeight="1" thickBot="1">
      <c r="A23" s="157"/>
      <c r="B23" s="157"/>
      <c r="C23" s="157"/>
      <c r="D23" s="157"/>
      <c r="E23" s="157"/>
      <c r="F23" s="157"/>
      <c r="G23" s="157"/>
      <c r="H23" s="157"/>
      <c r="I23" s="157"/>
      <c r="K23" s="227"/>
      <c r="L23" s="228"/>
      <c r="M23" s="229"/>
    </row>
    <row r="24" spans="1:13">
      <c r="A24" s="282" t="s">
        <v>165</v>
      </c>
      <c r="B24" s="283"/>
      <c r="C24" s="283"/>
      <c r="D24" s="283"/>
      <c r="E24" s="283"/>
      <c r="F24" s="283"/>
      <c r="G24" s="283"/>
      <c r="H24" s="283"/>
      <c r="I24" s="284"/>
      <c r="K24" s="227"/>
      <c r="L24" s="228"/>
      <c r="M24" s="229"/>
    </row>
    <row r="25" spans="1:13">
      <c r="A25" s="285"/>
      <c r="B25" s="286"/>
      <c r="C25" s="286"/>
      <c r="D25" s="286"/>
      <c r="E25" s="286"/>
      <c r="F25" s="286"/>
      <c r="G25" s="286"/>
      <c r="H25" s="286"/>
      <c r="I25" s="287"/>
      <c r="K25" s="227"/>
      <c r="L25" s="228"/>
      <c r="M25" s="229"/>
    </row>
    <row r="26" spans="1:13" ht="15.75" thickBot="1">
      <c r="A26" s="288"/>
      <c r="B26" s="289"/>
      <c r="C26" s="289"/>
      <c r="D26" s="289"/>
      <c r="E26" s="289"/>
      <c r="F26" s="289"/>
      <c r="G26" s="289"/>
      <c r="H26" s="289"/>
      <c r="I26" s="290"/>
      <c r="K26" s="227"/>
      <c r="L26" s="228"/>
      <c r="M26" s="229"/>
    </row>
    <row r="27" spans="1:13" ht="5.25" customHeight="1" thickBot="1">
      <c r="K27" s="227"/>
      <c r="L27" s="228"/>
      <c r="M27" s="229"/>
    </row>
    <row r="28" spans="1:13">
      <c r="A28" s="257" t="s">
        <v>118</v>
      </c>
      <c r="B28" s="258"/>
      <c r="C28" s="258"/>
      <c r="D28" s="258"/>
      <c r="E28" s="258"/>
      <c r="F28" s="258"/>
      <c r="G28" s="258"/>
      <c r="H28" s="258"/>
      <c r="I28" s="259"/>
      <c r="K28" s="227"/>
      <c r="L28" s="228"/>
      <c r="M28" s="229"/>
    </row>
    <row r="29" spans="1:13" ht="15.75" thickBot="1">
      <c r="A29" s="260"/>
      <c r="B29" s="261"/>
      <c r="C29" s="261"/>
      <c r="D29" s="261"/>
      <c r="E29" s="261"/>
      <c r="F29" s="261"/>
      <c r="G29" s="261"/>
      <c r="H29" s="261"/>
      <c r="I29" s="262"/>
      <c r="K29" s="230"/>
      <c r="L29" s="231"/>
      <c r="M29" s="232"/>
    </row>
  </sheetData>
  <mergeCells count="31">
    <mergeCell ref="A1:E1"/>
    <mergeCell ref="G7:I7"/>
    <mergeCell ref="G8:I8"/>
    <mergeCell ref="A2:E2"/>
    <mergeCell ref="G2:I2"/>
    <mergeCell ref="A3:E15"/>
    <mergeCell ref="G10:I10"/>
    <mergeCell ref="G9:I9"/>
    <mergeCell ref="G6:I6"/>
    <mergeCell ref="G3:I3"/>
    <mergeCell ref="G4:I4"/>
    <mergeCell ref="F1:F16"/>
    <mergeCell ref="G1:I1"/>
    <mergeCell ref="G5:I5"/>
    <mergeCell ref="A28:I29"/>
    <mergeCell ref="G11:I11"/>
    <mergeCell ref="G12:I12"/>
    <mergeCell ref="G13:I13"/>
    <mergeCell ref="A20:I20"/>
    <mergeCell ref="A17:I19"/>
    <mergeCell ref="A24:I26"/>
    <mergeCell ref="A21:I22"/>
    <mergeCell ref="A16:E16"/>
    <mergeCell ref="G16:I16"/>
    <mergeCell ref="K18:M29"/>
    <mergeCell ref="K17:M17"/>
    <mergeCell ref="K1:M1"/>
    <mergeCell ref="K3:M3"/>
    <mergeCell ref="K4:M4"/>
    <mergeCell ref="K5:M5"/>
    <mergeCell ref="K7:M15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M114"/>
  <sheetViews>
    <sheetView workbookViewId="0">
      <selection activeCell="L4" sqref="L4"/>
    </sheetView>
  </sheetViews>
  <sheetFormatPr defaultRowHeight="15"/>
  <cols>
    <col min="1" max="1" width="12" bestFit="1" customWidth="1"/>
    <col min="2" max="13" width="6.77734375" customWidth="1"/>
  </cols>
  <sheetData>
    <row r="1" spans="1:13" s="224" customFormat="1" ht="15.75">
      <c r="A1" s="209" t="s">
        <v>164</v>
      </c>
      <c r="B1" s="203">
        <v>41487</v>
      </c>
      <c r="C1" s="203">
        <v>41518</v>
      </c>
      <c r="D1" s="203">
        <v>41548</v>
      </c>
      <c r="E1" s="203">
        <v>41579</v>
      </c>
      <c r="F1" s="203">
        <v>41609</v>
      </c>
      <c r="G1" s="203">
        <v>41640</v>
      </c>
      <c r="H1" s="203">
        <v>41671</v>
      </c>
      <c r="I1" s="203">
        <v>41699</v>
      </c>
      <c r="J1" s="203">
        <v>41730</v>
      </c>
      <c r="K1" s="203">
        <v>41760</v>
      </c>
      <c r="L1" s="203">
        <v>41791</v>
      </c>
      <c r="M1" s="203">
        <v>41821</v>
      </c>
    </row>
    <row r="2" spans="1:13" s="224" customFormat="1">
      <c r="A2" s="204" t="s">
        <v>67</v>
      </c>
      <c r="B2" s="204">
        <v>31</v>
      </c>
      <c r="C2" s="204">
        <v>30</v>
      </c>
      <c r="D2" s="204">
        <v>31</v>
      </c>
      <c r="E2" s="204">
        <v>30</v>
      </c>
      <c r="F2" s="204">
        <v>31</v>
      </c>
      <c r="G2" s="204">
        <v>31</v>
      </c>
      <c r="H2" s="204">
        <v>28</v>
      </c>
      <c r="I2" s="204">
        <v>31</v>
      </c>
      <c r="J2" s="204">
        <v>30</v>
      </c>
      <c r="K2" s="204">
        <v>31</v>
      </c>
      <c r="L2" s="204">
        <v>30</v>
      </c>
      <c r="M2" s="204">
        <v>31</v>
      </c>
    </row>
    <row r="3" spans="1:13" s="224" customFormat="1">
      <c r="A3" s="204" t="s">
        <v>68</v>
      </c>
      <c r="B3" s="204">
        <v>9</v>
      </c>
      <c r="C3" s="204">
        <v>9</v>
      </c>
      <c r="D3" s="204">
        <v>8</v>
      </c>
      <c r="E3" s="204">
        <v>9</v>
      </c>
      <c r="F3" s="204">
        <v>9</v>
      </c>
      <c r="G3" s="204">
        <v>8</v>
      </c>
      <c r="H3" s="204">
        <v>8</v>
      </c>
      <c r="I3" s="204">
        <v>10</v>
      </c>
      <c r="J3" s="204">
        <v>8</v>
      </c>
      <c r="K3" s="204">
        <v>9</v>
      </c>
      <c r="L3" s="204">
        <v>9</v>
      </c>
      <c r="M3" s="204">
        <v>8</v>
      </c>
    </row>
    <row r="4" spans="1:13" s="224" customFormat="1">
      <c r="A4" s="204" t="s">
        <v>69</v>
      </c>
      <c r="B4" s="204">
        <v>0</v>
      </c>
      <c r="C4" s="204">
        <v>0</v>
      </c>
      <c r="D4" s="204">
        <v>0</v>
      </c>
      <c r="E4" s="204">
        <v>0</v>
      </c>
      <c r="F4" s="204">
        <v>2</v>
      </c>
      <c r="G4" s="204">
        <v>1</v>
      </c>
      <c r="H4" s="204">
        <v>0</v>
      </c>
      <c r="I4" s="204">
        <v>0</v>
      </c>
      <c r="J4" s="204">
        <v>3</v>
      </c>
      <c r="K4" s="204">
        <v>2</v>
      </c>
      <c r="L4" s="204">
        <v>1</v>
      </c>
      <c r="M4" s="204">
        <v>0</v>
      </c>
    </row>
    <row r="5" spans="1:13" s="224" customFormat="1">
      <c r="A5" s="204" t="s">
        <v>70</v>
      </c>
      <c r="B5" s="204">
        <f t="shared" ref="B5:M5" si="0">B2-B3-B4-B7</f>
        <v>22</v>
      </c>
      <c r="C5" s="204">
        <f t="shared" si="0"/>
        <v>21</v>
      </c>
      <c r="D5" s="204">
        <f t="shared" si="0"/>
        <v>18</v>
      </c>
      <c r="E5" s="204">
        <f t="shared" si="0"/>
        <v>21</v>
      </c>
      <c r="F5" s="204">
        <f t="shared" si="0"/>
        <v>20</v>
      </c>
      <c r="G5" s="204">
        <f t="shared" si="0"/>
        <v>22</v>
      </c>
      <c r="H5" s="204">
        <f t="shared" si="0"/>
        <v>20</v>
      </c>
      <c r="I5" s="204">
        <f t="shared" si="0"/>
        <v>21</v>
      </c>
      <c r="J5" s="204">
        <f t="shared" si="0"/>
        <v>19</v>
      </c>
      <c r="K5" s="204">
        <f t="shared" si="0"/>
        <v>20</v>
      </c>
      <c r="L5" s="204">
        <f t="shared" si="0"/>
        <v>20</v>
      </c>
      <c r="M5" s="204">
        <f t="shared" si="0"/>
        <v>3</v>
      </c>
    </row>
    <row r="6" spans="1:13" s="224" customFormat="1">
      <c r="A6" s="205" t="s">
        <v>71</v>
      </c>
      <c r="B6" s="205">
        <v>15</v>
      </c>
      <c r="C6" s="205">
        <f>C5</f>
        <v>21</v>
      </c>
      <c r="D6" s="205">
        <f>D5</f>
        <v>18</v>
      </c>
      <c r="E6" s="205">
        <v>22</v>
      </c>
      <c r="F6" s="205">
        <v>15</v>
      </c>
      <c r="G6" s="205">
        <f>G5</f>
        <v>22</v>
      </c>
      <c r="H6" s="205">
        <v>15</v>
      </c>
      <c r="I6" s="205">
        <v>16</v>
      </c>
      <c r="J6" s="205">
        <f>J5</f>
        <v>19</v>
      </c>
      <c r="K6" s="205">
        <v>18</v>
      </c>
      <c r="L6" s="205">
        <v>19</v>
      </c>
      <c r="M6" s="205">
        <v>0</v>
      </c>
    </row>
    <row r="7" spans="1:13" s="224" customFormat="1">
      <c r="A7" s="204" t="s">
        <v>73</v>
      </c>
      <c r="B7" s="204">
        <v>0</v>
      </c>
      <c r="C7" s="204">
        <v>0</v>
      </c>
      <c r="D7" s="204">
        <v>5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20</v>
      </c>
    </row>
    <row r="8" spans="1:13" s="224" customFormat="1" ht="15.75" thickBot="1">
      <c r="G8" s="208" t="s">
        <v>159</v>
      </c>
      <c r="H8" s="208"/>
      <c r="I8" s="208"/>
      <c r="J8" s="208"/>
      <c r="K8" s="208"/>
      <c r="L8" s="208"/>
      <c r="M8" s="208"/>
    </row>
    <row r="9" spans="1:13" s="224" customFormat="1">
      <c r="A9" s="68" t="s">
        <v>67</v>
      </c>
      <c r="B9" s="68">
        <f>SUM(B2:M2)</f>
        <v>365</v>
      </c>
      <c r="D9" s="69">
        <v>1924</v>
      </c>
      <c r="E9" s="69">
        <f>D9</f>
        <v>1924</v>
      </c>
      <c r="G9" s="208" t="s">
        <v>160</v>
      </c>
      <c r="H9" s="208"/>
      <c r="I9" s="208"/>
      <c r="J9" s="208"/>
      <c r="K9" s="208"/>
      <c r="L9" s="208"/>
      <c r="M9" s="208"/>
    </row>
    <row r="10" spans="1:13" s="224" customFormat="1">
      <c r="A10" s="68" t="s">
        <v>68</v>
      </c>
      <c r="B10" s="68">
        <f>SUM(B3:M3)</f>
        <v>104</v>
      </c>
      <c r="D10" s="70"/>
      <c r="E10" s="70"/>
    </row>
    <row r="11" spans="1:13" s="224" customFormat="1">
      <c r="A11" s="68" t="s">
        <v>69</v>
      </c>
      <c r="B11" s="68">
        <f>SUM(B4:M4)</f>
        <v>9</v>
      </c>
      <c r="C11" s="224">
        <v>7.4</v>
      </c>
      <c r="D11" s="70">
        <f>B11*C11</f>
        <v>66.600000000000009</v>
      </c>
      <c r="E11" s="70">
        <f>D11</f>
        <v>66.600000000000009</v>
      </c>
    </row>
    <row r="12" spans="1:13" s="224" customFormat="1">
      <c r="A12" s="68" t="s">
        <v>70</v>
      </c>
      <c r="B12" s="140">
        <f>SUM(B5:M5)-1</f>
        <v>226</v>
      </c>
      <c r="D12" s="70"/>
      <c r="E12" s="70"/>
    </row>
    <row r="13" spans="1:13" s="224" customFormat="1">
      <c r="A13" s="68" t="s">
        <v>73</v>
      </c>
      <c r="B13" s="68">
        <f>SUM(B7:M7)</f>
        <v>25</v>
      </c>
      <c r="C13" s="224">
        <v>7.4</v>
      </c>
      <c r="D13" s="70">
        <f>B13*C13</f>
        <v>185</v>
      </c>
      <c r="E13" s="70">
        <f>D13</f>
        <v>185</v>
      </c>
    </row>
    <row r="14" spans="1:13" s="224" customFormat="1">
      <c r="A14" s="68" t="s">
        <v>74</v>
      </c>
      <c r="B14" s="68">
        <v>5</v>
      </c>
      <c r="C14" s="224">
        <v>7.4</v>
      </c>
      <c r="D14" s="70">
        <f>B14*C14</f>
        <v>37</v>
      </c>
      <c r="E14" s="70"/>
    </row>
    <row r="15" spans="1:13" s="224" customFormat="1" ht="16.5" thickBot="1">
      <c r="A15" s="68" t="s">
        <v>71</v>
      </c>
      <c r="B15" s="68">
        <f>SUM(B6:M6)</f>
        <v>200</v>
      </c>
      <c r="D15" s="71">
        <f>D9-D11-D13-D14</f>
        <v>1635.4</v>
      </c>
      <c r="E15" s="71">
        <f>E9-E11-E13-E14</f>
        <v>1672.4</v>
      </c>
    </row>
    <row r="16" spans="1:13" s="224" customFormat="1"/>
    <row r="17" spans="1:13" s="224" customFormat="1"/>
    <row r="18" spans="1:13" s="207" customFormat="1" ht="15.75">
      <c r="A18" s="209" t="s">
        <v>161</v>
      </c>
      <c r="B18" s="203">
        <v>41122</v>
      </c>
      <c r="C18" s="203">
        <v>41153</v>
      </c>
      <c r="D18" s="203">
        <v>41183</v>
      </c>
      <c r="E18" s="203">
        <v>41214</v>
      </c>
      <c r="F18" s="203">
        <v>41244</v>
      </c>
      <c r="G18" s="203">
        <v>41275</v>
      </c>
      <c r="H18" s="203">
        <v>41306</v>
      </c>
      <c r="I18" s="203">
        <v>41334</v>
      </c>
      <c r="J18" s="203">
        <v>41365</v>
      </c>
      <c r="K18" s="203">
        <v>41395</v>
      </c>
      <c r="L18" s="203">
        <v>41426</v>
      </c>
      <c r="M18" s="203">
        <v>41456</v>
      </c>
    </row>
    <row r="19" spans="1:13" s="207" customFormat="1">
      <c r="A19" s="204" t="s">
        <v>67</v>
      </c>
      <c r="B19" s="204">
        <v>31</v>
      </c>
      <c r="C19" s="204">
        <v>30</v>
      </c>
      <c r="D19" s="204">
        <v>31</v>
      </c>
      <c r="E19" s="204">
        <v>30</v>
      </c>
      <c r="F19" s="204">
        <v>31</v>
      </c>
      <c r="G19" s="204">
        <v>31</v>
      </c>
      <c r="H19" s="204">
        <v>28</v>
      </c>
      <c r="I19" s="204">
        <v>31</v>
      </c>
      <c r="J19" s="204">
        <v>30</v>
      </c>
      <c r="K19" s="204">
        <v>31</v>
      </c>
      <c r="L19" s="204">
        <v>30</v>
      </c>
      <c r="M19" s="204">
        <v>31</v>
      </c>
    </row>
    <row r="20" spans="1:13" s="207" customFormat="1">
      <c r="A20" s="204" t="s">
        <v>68</v>
      </c>
      <c r="B20" s="204">
        <v>8</v>
      </c>
      <c r="C20" s="204">
        <v>10</v>
      </c>
      <c r="D20" s="204">
        <v>8</v>
      </c>
      <c r="E20" s="204">
        <v>8</v>
      </c>
      <c r="F20" s="204">
        <v>10</v>
      </c>
      <c r="G20" s="204">
        <v>8</v>
      </c>
      <c r="H20" s="204">
        <v>8</v>
      </c>
      <c r="I20" s="204">
        <v>10</v>
      </c>
      <c r="J20" s="204">
        <v>8</v>
      </c>
      <c r="K20" s="204">
        <v>8</v>
      </c>
      <c r="L20" s="204">
        <v>10</v>
      </c>
      <c r="M20" s="204">
        <v>10</v>
      </c>
    </row>
    <row r="21" spans="1:13" s="207" customFormat="1">
      <c r="A21" s="204" t="s">
        <v>69</v>
      </c>
      <c r="B21" s="204">
        <v>0</v>
      </c>
      <c r="C21" s="204">
        <v>0</v>
      </c>
      <c r="D21" s="204">
        <v>0</v>
      </c>
      <c r="E21" s="204">
        <v>0</v>
      </c>
      <c r="F21" s="204">
        <v>2</v>
      </c>
      <c r="G21" s="204">
        <v>1</v>
      </c>
      <c r="H21" s="204">
        <v>0</v>
      </c>
      <c r="I21" s="204">
        <v>2</v>
      </c>
      <c r="J21" s="204">
        <v>2</v>
      </c>
      <c r="K21" s="204">
        <v>2</v>
      </c>
      <c r="L21" s="204">
        <v>0</v>
      </c>
      <c r="M21" s="204">
        <v>0</v>
      </c>
    </row>
    <row r="22" spans="1:13" s="207" customFormat="1">
      <c r="A22" s="204" t="s">
        <v>70</v>
      </c>
      <c r="B22" s="204">
        <f t="shared" ref="B22:M22" si="1">B19-B20-B21-B24</f>
        <v>23</v>
      </c>
      <c r="C22" s="204">
        <f t="shared" si="1"/>
        <v>20</v>
      </c>
      <c r="D22" s="204">
        <f t="shared" si="1"/>
        <v>18</v>
      </c>
      <c r="E22" s="204">
        <f t="shared" si="1"/>
        <v>22</v>
      </c>
      <c r="F22" s="204">
        <f t="shared" si="1"/>
        <v>19</v>
      </c>
      <c r="G22" s="204">
        <f t="shared" si="1"/>
        <v>22</v>
      </c>
      <c r="H22" s="204">
        <f t="shared" si="1"/>
        <v>20</v>
      </c>
      <c r="I22" s="204">
        <f t="shared" si="1"/>
        <v>19</v>
      </c>
      <c r="J22" s="204">
        <f t="shared" si="1"/>
        <v>20</v>
      </c>
      <c r="K22" s="204">
        <f t="shared" si="1"/>
        <v>21</v>
      </c>
      <c r="L22" s="204">
        <f t="shared" si="1"/>
        <v>20</v>
      </c>
      <c r="M22" s="204">
        <f t="shared" si="1"/>
        <v>1</v>
      </c>
    </row>
    <row r="23" spans="1:13" s="207" customFormat="1">
      <c r="A23" s="205" t="s">
        <v>71</v>
      </c>
      <c r="B23" s="205">
        <v>15</v>
      </c>
      <c r="C23" s="205">
        <f>C22</f>
        <v>20</v>
      </c>
      <c r="D23" s="205">
        <f>D22</f>
        <v>18</v>
      </c>
      <c r="E23" s="205">
        <v>22</v>
      </c>
      <c r="F23" s="205">
        <v>15</v>
      </c>
      <c r="G23" s="205">
        <f>G22</f>
        <v>22</v>
      </c>
      <c r="H23" s="205">
        <v>15</v>
      </c>
      <c r="I23" s="205">
        <v>16</v>
      </c>
      <c r="J23" s="205">
        <f>J22</f>
        <v>20</v>
      </c>
      <c r="K23" s="205">
        <v>18</v>
      </c>
      <c r="L23" s="205">
        <v>19</v>
      </c>
      <c r="M23" s="205">
        <v>0</v>
      </c>
    </row>
    <row r="24" spans="1:13" s="207" customFormat="1">
      <c r="A24" s="204" t="s">
        <v>73</v>
      </c>
      <c r="B24" s="204">
        <v>0</v>
      </c>
      <c r="C24" s="204">
        <v>0</v>
      </c>
      <c r="D24" s="204">
        <v>5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20</v>
      </c>
    </row>
    <row r="25" spans="1:13" s="207" customFormat="1" ht="15.75" thickBot="1">
      <c r="G25" s="208" t="s">
        <v>159</v>
      </c>
      <c r="H25" s="208"/>
      <c r="I25" s="208"/>
      <c r="J25" s="208"/>
      <c r="K25" s="208"/>
      <c r="L25" s="208"/>
      <c r="M25" s="208"/>
    </row>
    <row r="26" spans="1:13" s="207" customFormat="1">
      <c r="A26" s="68" t="s">
        <v>67</v>
      </c>
      <c r="B26" s="68">
        <f>SUM(B19:M19)</f>
        <v>365</v>
      </c>
      <c r="D26" s="69">
        <v>1924</v>
      </c>
      <c r="E26" s="69">
        <f>D26</f>
        <v>1924</v>
      </c>
      <c r="G26" s="208" t="s">
        <v>160</v>
      </c>
      <c r="H26" s="208"/>
      <c r="I26" s="208"/>
      <c r="J26" s="208"/>
      <c r="K26" s="208"/>
      <c r="L26" s="208"/>
      <c r="M26" s="208"/>
    </row>
    <row r="27" spans="1:13" s="207" customFormat="1">
      <c r="A27" s="68" t="s">
        <v>68</v>
      </c>
      <c r="B27" s="68">
        <f>SUM(B20:M20)</f>
        <v>106</v>
      </c>
      <c r="D27" s="70"/>
      <c r="E27" s="70"/>
    </row>
    <row r="28" spans="1:13" s="207" customFormat="1">
      <c r="A28" s="68" t="s">
        <v>69</v>
      </c>
      <c r="B28" s="68">
        <f>SUM(B21:M21)</f>
        <v>9</v>
      </c>
      <c r="C28" s="207">
        <v>7.4</v>
      </c>
      <c r="D28" s="70">
        <f>B28*C28</f>
        <v>66.600000000000009</v>
      </c>
      <c r="E28" s="70">
        <f>D28</f>
        <v>66.600000000000009</v>
      </c>
    </row>
    <row r="29" spans="1:13" s="207" customFormat="1">
      <c r="A29" s="68" t="s">
        <v>70</v>
      </c>
      <c r="B29" s="140">
        <f>SUM(B22:M22)-1</f>
        <v>224</v>
      </c>
      <c r="D29" s="70"/>
      <c r="E29" s="70"/>
    </row>
    <row r="30" spans="1:13" s="207" customFormat="1">
      <c r="A30" s="68" t="s">
        <v>73</v>
      </c>
      <c r="B30" s="68">
        <f>SUM(B24:M24)</f>
        <v>25</v>
      </c>
      <c r="C30" s="207">
        <v>7.4</v>
      </c>
      <c r="D30" s="70">
        <f>B30*C30</f>
        <v>185</v>
      </c>
      <c r="E30" s="70">
        <f>D30</f>
        <v>185</v>
      </c>
    </row>
    <row r="31" spans="1:13" s="207" customFormat="1">
      <c r="A31" s="68" t="s">
        <v>74</v>
      </c>
      <c r="B31" s="68">
        <v>5</v>
      </c>
      <c r="C31" s="207">
        <v>7.4</v>
      </c>
      <c r="D31" s="70">
        <f>B31*C31</f>
        <v>37</v>
      </c>
      <c r="E31" s="70"/>
    </row>
    <row r="32" spans="1:13" s="207" customFormat="1" ht="16.5" thickBot="1">
      <c r="A32" s="68" t="s">
        <v>71</v>
      </c>
      <c r="B32" s="68">
        <f>SUM(B23:M23)</f>
        <v>200</v>
      </c>
      <c r="D32" s="71">
        <f>D26-D28-D30-D31</f>
        <v>1635.4</v>
      </c>
      <c r="E32" s="71">
        <f>E26-E28-E30-E31</f>
        <v>1672.4</v>
      </c>
    </row>
    <row r="33" spans="1:13" s="207" customFormat="1"/>
    <row r="34" spans="1:13" s="207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209" t="s">
        <v>162</v>
      </c>
      <c r="B35" s="203">
        <v>40756</v>
      </c>
      <c r="C35" s="203">
        <v>40787</v>
      </c>
      <c r="D35" s="203">
        <v>40817</v>
      </c>
      <c r="E35" s="203">
        <v>40848</v>
      </c>
      <c r="F35" s="203">
        <v>40878</v>
      </c>
      <c r="G35" s="203">
        <v>40909</v>
      </c>
      <c r="H35" s="203">
        <v>40940</v>
      </c>
      <c r="I35" s="203">
        <v>40969</v>
      </c>
      <c r="J35" s="203">
        <v>41000</v>
      </c>
      <c r="K35" s="203">
        <v>41030</v>
      </c>
      <c r="L35" s="203">
        <v>41061</v>
      </c>
      <c r="M35" s="203">
        <v>41091</v>
      </c>
    </row>
    <row r="36" spans="1:13">
      <c r="A36" s="204" t="s">
        <v>67</v>
      </c>
      <c r="B36" s="204">
        <v>31</v>
      </c>
      <c r="C36" s="204">
        <v>30</v>
      </c>
      <c r="D36" s="204">
        <v>31</v>
      </c>
      <c r="E36" s="204">
        <v>30</v>
      </c>
      <c r="F36" s="204">
        <v>31</v>
      </c>
      <c r="G36" s="204">
        <v>31</v>
      </c>
      <c r="H36" s="204">
        <v>29</v>
      </c>
      <c r="I36" s="204">
        <v>31</v>
      </c>
      <c r="J36" s="204">
        <v>30</v>
      </c>
      <c r="K36" s="204">
        <v>31</v>
      </c>
      <c r="L36" s="204">
        <v>30</v>
      </c>
      <c r="M36" s="204">
        <v>31</v>
      </c>
    </row>
    <row r="37" spans="1:13">
      <c r="A37" s="204" t="s">
        <v>68</v>
      </c>
      <c r="B37" s="204">
        <v>8</v>
      </c>
      <c r="C37" s="204">
        <v>8</v>
      </c>
      <c r="D37" s="204">
        <v>10</v>
      </c>
      <c r="E37" s="204">
        <v>8</v>
      </c>
      <c r="F37" s="204">
        <v>9</v>
      </c>
      <c r="G37" s="204">
        <v>9</v>
      </c>
      <c r="H37" s="204">
        <v>8</v>
      </c>
      <c r="I37" s="204">
        <v>9</v>
      </c>
      <c r="J37" s="204">
        <v>9</v>
      </c>
      <c r="K37" s="204">
        <v>8</v>
      </c>
      <c r="L37" s="204">
        <v>9</v>
      </c>
      <c r="M37" s="204">
        <v>10</v>
      </c>
    </row>
    <row r="38" spans="1:13">
      <c r="A38" s="204" t="s">
        <v>69</v>
      </c>
      <c r="B38" s="204">
        <v>0</v>
      </c>
      <c r="C38" s="204">
        <v>0</v>
      </c>
      <c r="D38" s="204">
        <v>0</v>
      </c>
      <c r="E38" s="204">
        <v>0</v>
      </c>
      <c r="F38" s="204">
        <v>1</v>
      </c>
      <c r="G38" s="204">
        <v>0</v>
      </c>
      <c r="H38" s="204">
        <v>0</v>
      </c>
      <c r="I38" s="204">
        <v>0</v>
      </c>
      <c r="J38" s="204">
        <v>3</v>
      </c>
      <c r="K38" s="204">
        <v>3</v>
      </c>
      <c r="L38" s="204">
        <v>0</v>
      </c>
      <c r="M38" s="204">
        <v>0</v>
      </c>
    </row>
    <row r="39" spans="1:13">
      <c r="A39" s="204" t="s">
        <v>70</v>
      </c>
      <c r="B39" s="204">
        <f t="shared" ref="B39:M39" si="2">B36-B37-B38-B41</f>
        <v>23</v>
      </c>
      <c r="C39" s="204">
        <f t="shared" si="2"/>
        <v>22</v>
      </c>
      <c r="D39" s="204">
        <f t="shared" si="2"/>
        <v>16</v>
      </c>
      <c r="E39" s="204">
        <f t="shared" si="2"/>
        <v>22</v>
      </c>
      <c r="F39" s="204">
        <f t="shared" si="2"/>
        <v>21</v>
      </c>
      <c r="G39" s="204">
        <f t="shared" si="2"/>
        <v>22</v>
      </c>
      <c r="H39" s="204">
        <f t="shared" si="2"/>
        <v>21</v>
      </c>
      <c r="I39" s="204">
        <f t="shared" si="2"/>
        <v>22</v>
      </c>
      <c r="J39" s="204">
        <f t="shared" si="2"/>
        <v>18</v>
      </c>
      <c r="K39" s="204">
        <f t="shared" si="2"/>
        <v>20</v>
      </c>
      <c r="L39" s="204">
        <f t="shared" si="2"/>
        <v>21</v>
      </c>
      <c r="M39" s="204">
        <f t="shared" si="2"/>
        <v>1</v>
      </c>
    </row>
    <row r="40" spans="1:13">
      <c r="A40" s="205" t="s">
        <v>71</v>
      </c>
      <c r="B40" s="205">
        <v>16</v>
      </c>
      <c r="C40" s="205">
        <v>22</v>
      </c>
      <c r="D40" s="205">
        <v>16</v>
      </c>
      <c r="E40" s="205">
        <v>22</v>
      </c>
      <c r="F40" s="205">
        <v>13</v>
      </c>
      <c r="G40" s="205">
        <v>22</v>
      </c>
      <c r="H40" s="205">
        <v>16</v>
      </c>
      <c r="I40" s="205">
        <v>22</v>
      </c>
      <c r="J40" s="205">
        <v>15</v>
      </c>
      <c r="K40" s="205">
        <v>17</v>
      </c>
      <c r="L40" s="205">
        <v>19</v>
      </c>
      <c r="M40" s="205">
        <v>0</v>
      </c>
    </row>
    <row r="41" spans="1:13">
      <c r="A41" s="204" t="s">
        <v>73</v>
      </c>
      <c r="B41" s="204">
        <v>0</v>
      </c>
      <c r="C41" s="204">
        <v>0</v>
      </c>
      <c r="D41" s="204">
        <v>5</v>
      </c>
      <c r="E41" s="204">
        <v>0</v>
      </c>
      <c r="F41" s="204">
        <v>0</v>
      </c>
      <c r="G41" s="204">
        <v>0</v>
      </c>
      <c r="H41" s="204">
        <v>0</v>
      </c>
      <c r="I41" s="204">
        <v>0</v>
      </c>
      <c r="J41" s="204">
        <v>0</v>
      </c>
      <c r="K41" s="204">
        <v>0</v>
      </c>
      <c r="L41" s="204">
        <v>0</v>
      </c>
      <c r="M41" s="204">
        <v>20</v>
      </c>
    </row>
    <row r="42" spans="1:13" ht="15.75" thickBot="1">
      <c r="G42" s="208" t="s">
        <v>159</v>
      </c>
      <c r="H42" s="208"/>
      <c r="I42" s="208"/>
      <c r="J42" s="208"/>
      <c r="K42" s="208"/>
      <c r="L42" s="208"/>
      <c r="M42" s="208"/>
    </row>
    <row r="43" spans="1:13">
      <c r="A43" s="68" t="s">
        <v>67</v>
      </c>
      <c r="B43" s="68">
        <f>SUM(B36:M36)</f>
        <v>366</v>
      </c>
      <c r="D43" s="69">
        <v>1924</v>
      </c>
      <c r="E43" s="69">
        <f>D43</f>
        <v>1924</v>
      </c>
      <c r="G43" s="208" t="s">
        <v>160</v>
      </c>
      <c r="H43" s="208"/>
      <c r="I43" s="208"/>
      <c r="J43" s="208"/>
      <c r="K43" s="208"/>
      <c r="L43" s="208"/>
      <c r="M43" s="208"/>
    </row>
    <row r="44" spans="1:13">
      <c r="A44" s="68" t="s">
        <v>68</v>
      </c>
      <c r="B44" s="68">
        <f>SUM(B37:M37)</f>
        <v>105</v>
      </c>
      <c r="D44" s="70"/>
      <c r="E44" s="70"/>
    </row>
    <row r="45" spans="1:13">
      <c r="A45" s="68" t="s">
        <v>69</v>
      </c>
      <c r="B45" s="68">
        <f>SUM(B38:M38)</f>
        <v>7</v>
      </c>
      <c r="C45">
        <v>7.4</v>
      </c>
      <c r="D45" s="70">
        <f>B45*C45</f>
        <v>51.800000000000004</v>
      </c>
      <c r="E45" s="70">
        <f>D45</f>
        <v>51.800000000000004</v>
      </c>
    </row>
    <row r="46" spans="1:13">
      <c r="A46" s="68" t="s">
        <v>70</v>
      </c>
      <c r="B46" s="140">
        <f>SUM(B39:M39)-1</f>
        <v>228</v>
      </c>
      <c r="D46" s="70"/>
      <c r="E46" s="70"/>
    </row>
    <row r="47" spans="1:13">
      <c r="A47" s="68" t="s">
        <v>73</v>
      </c>
      <c r="B47" s="68">
        <f>SUM(B41:M41)</f>
        <v>25</v>
      </c>
      <c r="C47">
        <v>7.4</v>
      </c>
      <c r="D47" s="70">
        <f>B47*C47</f>
        <v>185</v>
      </c>
      <c r="E47" s="70">
        <f>D47</f>
        <v>185</v>
      </c>
    </row>
    <row r="48" spans="1:13">
      <c r="A48" s="68" t="s">
        <v>74</v>
      </c>
      <c r="B48" s="68">
        <v>5</v>
      </c>
      <c r="C48">
        <v>6.8</v>
      </c>
      <c r="D48" s="70">
        <f>B48*C48</f>
        <v>34</v>
      </c>
      <c r="E48" s="70"/>
    </row>
    <row r="49" spans="1:13" ht="16.5" thickBot="1">
      <c r="A49" s="68" t="s">
        <v>71</v>
      </c>
      <c r="B49" s="68">
        <f>SUM(B40:M40)</f>
        <v>200</v>
      </c>
      <c r="D49" s="71">
        <f>D43-D45-D47-D48</f>
        <v>1653.2</v>
      </c>
      <c r="E49" s="71">
        <f>E43-E45-E47-E48</f>
        <v>1687.2</v>
      </c>
    </row>
    <row r="51" spans="1:13" s="224" customFormat="1"/>
    <row r="52" spans="1:13">
      <c r="B52" s="67">
        <v>40391</v>
      </c>
      <c r="C52" s="67">
        <v>40422</v>
      </c>
      <c r="D52" s="67">
        <v>40452</v>
      </c>
      <c r="E52" s="67">
        <v>40483</v>
      </c>
      <c r="F52" s="67">
        <v>40513</v>
      </c>
      <c r="G52" s="67">
        <v>40544</v>
      </c>
      <c r="H52" s="67">
        <v>40575</v>
      </c>
      <c r="I52" s="67">
        <v>40603</v>
      </c>
      <c r="J52" s="67">
        <v>40634</v>
      </c>
      <c r="K52" s="67">
        <v>40664</v>
      </c>
      <c r="L52" s="67">
        <v>40695</v>
      </c>
      <c r="M52" s="67">
        <v>40725</v>
      </c>
    </row>
    <row r="53" spans="1:13">
      <c r="A53" s="68" t="s">
        <v>67</v>
      </c>
      <c r="B53" s="68">
        <v>31</v>
      </c>
      <c r="C53" s="68">
        <v>30</v>
      </c>
      <c r="D53" s="68">
        <v>31</v>
      </c>
      <c r="E53" s="68">
        <v>30</v>
      </c>
      <c r="F53" s="68">
        <v>31</v>
      </c>
      <c r="G53" s="68">
        <v>31</v>
      </c>
      <c r="H53" s="68">
        <v>28</v>
      </c>
      <c r="I53" s="68">
        <v>31</v>
      </c>
      <c r="J53" s="68">
        <v>30</v>
      </c>
      <c r="K53" s="68">
        <v>31</v>
      </c>
      <c r="L53" s="68">
        <v>30</v>
      </c>
      <c r="M53" s="68">
        <v>31</v>
      </c>
    </row>
    <row r="54" spans="1:13">
      <c r="A54" s="68" t="s">
        <v>68</v>
      </c>
      <c r="B54" s="68">
        <v>9</v>
      </c>
      <c r="C54" s="68">
        <v>8</v>
      </c>
      <c r="D54" s="68">
        <v>10</v>
      </c>
      <c r="E54" s="68">
        <v>8</v>
      </c>
      <c r="F54" s="68">
        <v>8</v>
      </c>
      <c r="G54" s="68">
        <v>10</v>
      </c>
      <c r="H54" s="68">
        <v>8</v>
      </c>
      <c r="I54" s="68">
        <v>8</v>
      </c>
      <c r="J54" s="68">
        <v>9</v>
      </c>
      <c r="K54" s="68">
        <v>9</v>
      </c>
      <c r="L54" s="68">
        <v>8</v>
      </c>
      <c r="M54" s="68">
        <v>10</v>
      </c>
    </row>
    <row r="55" spans="1:13">
      <c r="A55" s="68" t="s">
        <v>69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3</v>
      </c>
      <c r="K55" s="68">
        <v>1</v>
      </c>
      <c r="L55" s="68">
        <v>2</v>
      </c>
      <c r="M55" s="68">
        <v>0</v>
      </c>
    </row>
    <row r="56" spans="1:13">
      <c r="A56" s="68" t="s">
        <v>70</v>
      </c>
      <c r="B56" s="68">
        <f t="shared" ref="B56:M56" si="3">B53-B54-B55-B58</f>
        <v>22</v>
      </c>
      <c r="C56" s="68">
        <f t="shared" si="3"/>
        <v>22</v>
      </c>
      <c r="D56" s="68">
        <f t="shared" si="3"/>
        <v>16</v>
      </c>
      <c r="E56" s="68">
        <f t="shared" si="3"/>
        <v>22</v>
      </c>
      <c r="F56" s="68">
        <f t="shared" si="3"/>
        <v>23</v>
      </c>
      <c r="G56" s="68">
        <f t="shared" si="3"/>
        <v>21</v>
      </c>
      <c r="H56" s="68">
        <f t="shared" si="3"/>
        <v>20</v>
      </c>
      <c r="I56" s="68">
        <f t="shared" si="3"/>
        <v>23</v>
      </c>
      <c r="J56" s="68">
        <f t="shared" si="3"/>
        <v>18</v>
      </c>
      <c r="K56" s="68">
        <f t="shared" si="3"/>
        <v>21</v>
      </c>
      <c r="L56" s="68">
        <f t="shared" si="3"/>
        <v>20</v>
      </c>
      <c r="M56" s="68">
        <f t="shared" si="3"/>
        <v>1</v>
      </c>
    </row>
    <row r="57" spans="1:13">
      <c r="A57" s="68" t="s">
        <v>71</v>
      </c>
      <c r="B57" s="68">
        <v>13</v>
      </c>
      <c r="C57" s="68">
        <v>20</v>
      </c>
      <c r="D57" s="68">
        <v>18</v>
      </c>
      <c r="E57" s="68">
        <v>22</v>
      </c>
      <c r="F57" s="68">
        <v>15</v>
      </c>
      <c r="G57" s="68">
        <v>22</v>
      </c>
      <c r="H57" s="68">
        <v>16</v>
      </c>
      <c r="I57" s="68">
        <v>15</v>
      </c>
      <c r="J57" s="68">
        <v>21</v>
      </c>
      <c r="K57" s="68">
        <v>19</v>
      </c>
      <c r="L57" s="68">
        <v>19</v>
      </c>
      <c r="M57" s="68">
        <v>0</v>
      </c>
    </row>
    <row r="58" spans="1:13">
      <c r="A58" s="68" t="s">
        <v>73</v>
      </c>
      <c r="B58" s="68">
        <v>0</v>
      </c>
      <c r="C58" s="68">
        <v>0</v>
      </c>
      <c r="D58" s="68">
        <v>5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20</v>
      </c>
    </row>
    <row r="59" spans="1:13" ht="15.75" thickBot="1"/>
    <row r="60" spans="1:13">
      <c r="A60" s="68" t="s">
        <v>67</v>
      </c>
      <c r="B60" s="68">
        <f>SUM(B53:M53)</f>
        <v>365</v>
      </c>
      <c r="D60" s="69">
        <v>1924</v>
      </c>
      <c r="E60" s="69">
        <f>D60</f>
        <v>1924</v>
      </c>
    </row>
    <row r="61" spans="1:13">
      <c r="A61" s="68" t="s">
        <v>68</v>
      </c>
      <c r="B61" s="68">
        <f>SUM(B54:M54)</f>
        <v>105</v>
      </c>
      <c r="D61" s="70">
        <f>C62*B62</f>
        <v>44.400000000000006</v>
      </c>
      <c r="E61" s="70">
        <f>D61</f>
        <v>44.400000000000006</v>
      </c>
    </row>
    <row r="62" spans="1:13">
      <c r="A62" s="68" t="s">
        <v>69</v>
      </c>
      <c r="B62" s="68">
        <f>SUM(B55:M55)</f>
        <v>6</v>
      </c>
      <c r="C62">
        <v>7.4</v>
      </c>
      <c r="D62" s="70"/>
      <c r="E62" s="70"/>
    </row>
    <row r="63" spans="1:13">
      <c r="A63" s="68" t="s">
        <v>70</v>
      </c>
      <c r="B63" s="140">
        <f>SUM(B56:M56)-1</f>
        <v>228</v>
      </c>
      <c r="D63" s="70"/>
      <c r="E63" s="70"/>
    </row>
    <row r="64" spans="1:13">
      <c r="A64" s="68" t="s">
        <v>71</v>
      </c>
      <c r="B64" s="68">
        <f>SUM(B57:M57)</f>
        <v>200</v>
      </c>
      <c r="D64" s="70">
        <f>C65*B65</f>
        <v>185</v>
      </c>
      <c r="E64" s="70">
        <f>D64</f>
        <v>185</v>
      </c>
    </row>
    <row r="65" spans="1:13">
      <c r="A65" s="68" t="s">
        <v>73</v>
      </c>
      <c r="B65" s="68">
        <f>SUM(B58:M58)</f>
        <v>25</v>
      </c>
      <c r="C65">
        <f>C62</f>
        <v>7.4</v>
      </c>
      <c r="D65" s="70">
        <f>C66*B66</f>
        <v>37</v>
      </c>
      <c r="E65" s="70"/>
    </row>
    <row r="66" spans="1:13" ht="16.5" thickBot="1">
      <c r="A66" s="68" t="s">
        <v>74</v>
      </c>
      <c r="B66" s="68">
        <v>5</v>
      </c>
      <c r="C66">
        <f>C65</f>
        <v>7.4</v>
      </c>
      <c r="D66" s="71">
        <f>D60-D61-D64-D65</f>
        <v>1657.6</v>
      </c>
      <c r="E66" s="71">
        <f>E60-E61-E64-E65</f>
        <v>1694.6</v>
      </c>
    </row>
    <row r="69" spans="1:13">
      <c r="B69" s="67">
        <v>40026</v>
      </c>
      <c r="C69" s="67">
        <v>40057</v>
      </c>
      <c r="D69" s="67">
        <v>40087</v>
      </c>
      <c r="E69" s="67">
        <v>40118</v>
      </c>
      <c r="F69" s="67">
        <v>40148</v>
      </c>
      <c r="G69" s="67">
        <v>40179</v>
      </c>
      <c r="H69" s="67">
        <v>40210</v>
      </c>
      <c r="I69" s="67">
        <v>40238</v>
      </c>
      <c r="J69" s="67">
        <v>40269</v>
      </c>
      <c r="K69" s="67">
        <v>40299</v>
      </c>
      <c r="L69" s="67">
        <v>40330</v>
      </c>
      <c r="M69" s="67">
        <v>40360</v>
      </c>
    </row>
    <row r="70" spans="1:13">
      <c r="A70" s="68" t="s">
        <v>67</v>
      </c>
      <c r="B70" s="68">
        <v>31</v>
      </c>
      <c r="C70" s="68">
        <v>30</v>
      </c>
      <c r="D70" s="68">
        <v>31</v>
      </c>
      <c r="E70" s="68">
        <v>30</v>
      </c>
      <c r="F70" s="68">
        <v>31</v>
      </c>
      <c r="G70" s="68">
        <v>31</v>
      </c>
      <c r="H70" s="68">
        <v>28</v>
      </c>
      <c r="I70" s="68">
        <v>31</v>
      </c>
      <c r="J70" s="68">
        <v>30</v>
      </c>
      <c r="K70" s="68">
        <v>31</v>
      </c>
      <c r="L70" s="68">
        <v>30</v>
      </c>
      <c r="M70" s="68">
        <v>31</v>
      </c>
    </row>
    <row r="71" spans="1:13">
      <c r="A71" s="68" t="s">
        <v>68</v>
      </c>
      <c r="B71" s="68">
        <v>10</v>
      </c>
      <c r="C71" s="68">
        <v>8</v>
      </c>
      <c r="D71" s="68">
        <v>9</v>
      </c>
      <c r="E71" s="68">
        <v>9</v>
      </c>
      <c r="F71" s="68">
        <v>8</v>
      </c>
      <c r="G71" s="68">
        <v>10</v>
      </c>
      <c r="H71" s="68">
        <v>8</v>
      </c>
      <c r="I71" s="68">
        <v>8</v>
      </c>
      <c r="J71" s="68">
        <v>8</v>
      </c>
      <c r="K71" s="68">
        <v>10</v>
      </c>
      <c r="L71" s="68">
        <v>8</v>
      </c>
      <c r="M71" s="68">
        <v>9</v>
      </c>
    </row>
    <row r="72" spans="1:13">
      <c r="A72" s="68" t="s">
        <v>69</v>
      </c>
      <c r="B72" s="68">
        <v>0</v>
      </c>
      <c r="C72" s="68">
        <v>0</v>
      </c>
      <c r="D72" s="68">
        <v>0</v>
      </c>
      <c r="E72" s="68">
        <v>0</v>
      </c>
      <c r="F72" s="68">
        <v>1</v>
      </c>
      <c r="G72" s="68">
        <v>1</v>
      </c>
      <c r="H72" s="68">
        <v>0</v>
      </c>
      <c r="I72" s="68">
        <v>3</v>
      </c>
      <c r="J72" s="68">
        <v>1</v>
      </c>
      <c r="K72" s="68">
        <v>2</v>
      </c>
      <c r="L72" s="68">
        <v>0</v>
      </c>
      <c r="M72" s="68">
        <v>0</v>
      </c>
    </row>
    <row r="73" spans="1:13">
      <c r="A73" s="68" t="s">
        <v>70</v>
      </c>
      <c r="B73" s="68">
        <f t="shared" ref="B73:M73" si="4">B70-B71-B72-B75</f>
        <v>21</v>
      </c>
      <c r="C73" s="68">
        <f t="shared" si="4"/>
        <v>22</v>
      </c>
      <c r="D73" s="68">
        <f t="shared" si="4"/>
        <v>17</v>
      </c>
      <c r="E73" s="68">
        <f t="shared" si="4"/>
        <v>21</v>
      </c>
      <c r="F73" s="68">
        <f t="shared" si="4"/>
        <v>22</v>
      </c>
      <c r="G73" s="68">
        <f t="shared" si="4"/>
        <v>20</v>
      </c>
      <c r="H73" s="68">
        <f t="shared" si="4"/>
        <v>20</v>
      </c>
      <c r="I73" s="68">
        <f t="shared" si="4"/>
        <v>20</v>
      </c>
      <c r="J73" s="68">
        <f t="shared" si="4"/>
        <v>21</v>
      </c>
      <c r="K73" s="68">
        <f t="shared" si="4"/>
        <v>19</v>
      </c>
      <c r="L73" s="68">
        <f t="shared" si="4"/>
        <v>22</v>
      </c>
      <c r="M73" s="68">
        <f t="shared" si="4"/>
        <v>2</v>
      </c>
    </row>
    <row r="74" spans="1:13">
      <c r="A74" s="68" t="s">
        <v>71</v>
      </c>
      <c r="B74" s="68">
        <v>13</v>
      </c>
      <c r="C74" s="68">
        <v>20</v>
      </c>
      <c r="D74" s="68">
        <v>18</v>
      </c>
      <c r="E74" s="68">
        <v>22</v>
      </c>
      <c r="F74" s="68">
        <v>15</v>
      </c>
      <c r="G74" s="68">
        <v>22</v>
      </c>
      <c r="H74" s="68">
        <v>16</v>
      </c>
      <c r="I74" s="68">
        <v>15</v>
      </c>
      <c r="J74" s="68">
        <v>21</v>
      </c>
      <c r="K74" s="68">
        <v>19</v>
      </c>
      <c r="L74" s="68">
        <v>19</v>
      </c>
      <c r="M74" s="68">
        <v>0</v>
      </c>
    </row>
    <row r="75" spans="1:13">
      <c r="A75" s="68" t="s">
        <v>73</v>
      </c>
      <c r="B75" s="68">
        <v>0</v>
      </c>
      <c r="C75" s="68">
        <v>0</v>
      </c>
      <c r="D75" s="68">
        <v>5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20</v>
      </c>
    </row>
    <row r="76" spans="1:13" ht="15.75" thickBot="1"/>
    <row r="77" spans="1:13">
      <c r="A77" s="68" t="s">
        <v>67</v>
      </c>
      <c r="B77" s="68">
        <f>SUM(B70:M70)</f>
        <v>365</v>
      </c>
      <c r="D77" s="69">
        <v>1924</v>
      </c>
      <c r="E77" s="69">
        <f>D77</f>
        <v>1924</v>
      </c>
    </row>
    <row r="78" spans="1:13">
      <c r="A78" s="68" t="s">
        <v>68</v>
      </c>
      <c r="B78" s="68">
        <f>SUM(B71:M71)</f>
        <v>105</v>
      </c>
      <c r="D78" s="70">
        <f>C79*B79</f>
        <v>59.2</v>
      </c>
      <c r="E78" s="70">
        <f>D78</f>
        <v>59.2</v>
      </c>
    </row>
    <row r="79" spans="1:13">
      <c r="A79" s="68" t="s">
        <v>69</v>
      </c>
      <c r="B79" s="68">
        <f>SUM(B72:M72)</f>
        <v>8</v>
      </c>
      <c r="C79">
        <v>7.4</v>
      </c>
      <c r="D79" s="70"/>
      <c r="E79" s="70"/>
    </row>
    <row r="80" spans="1:13">
      <c r="A80" s="68" t="s">
        <v>70</v>
      </c>
      <c r="B80" s="140">
        <f>SUM(B73:M73)-1</f>
        <v>226</v>
      </c>
      <c r="D80" s="70"/>
      <c r="E80" s="70"/>
    </row>
    <row r="81" spans="1:13">
      <c r="A81" s="68" t="s">
        <v>71</v>
      </c>
      <c r="B81" s="68">
        <f>SUM(B74:M74)</f>
        <v>200</v>
      </c>
      <c r="D81" s="70">
        <f>C82*B82</f>
        <v>185</v>
      </c>
      <c r="E81" s="70">
        <f>D81</f>
        <v>185</v>
      </c>
    </row>
    <row r="82" spans="1:13">
      <c r="A82" s="68" t="s">
        <v>73</v>
      </c>
      <c r="B82" s="68">
        <f>SUM(B75:M75)</f>
        <v>25</v>
      </c>
      <c r="C82">
        <f>C79</f>
        <v>7.4</v>
      </c>
      <c r="D82" s="70">
        <f>C83*B83</f>
        <v>37</v>
      </c>
      <c r="E82" s="70"/>
    </row>
    <row r="83" spans="1:13" ht="16.5" thickBot="1">
      <c r="A83" s="68" t="s">
        <v>74</v>
      </c>
      <c r="B83" s="68">
        <v>5</v>
      </c>
      <c r="C83">
        <f>C82</f>
        <v>7.4</v>
      </c>
      <c r="D83" s="71">
        <f>D77-D78-D81-D82</f>
        <v>1642.8</v>
      </c>
      <c r="E83" s="71">
        <f>E77-E78-E81-E82</f>
        <v>1679.8</v>
      </c>
    </row>
    <row r="86" spans="1:13">
      <c r="B86" s="67">
        <v>39661</v>
      </c>
      <c r="C86" s="67">
        <v>39692</v>
      </c>
      <c r="D86" s="67">
        <v>39722</v>
      </c>
      <c r="E86" s="67">
        <v>39753</v>
      </c>
      <c r="F86" s="67">
        <v>39783</v>
      </c>
      <c r="G86" s="67">
        <v>39814</v>
      </c>
      <c r="H86" s="67">
        <v>39845</v>
      </c>
      <c r="I86" s="67">
        <v>39873</v>
      </c>
      <c r="J86" s="67">
        <v>39904</v>
      </c>
      <c r="K86" s="67">
        <v>39934</v>
      </c>
      <c r="L86" s="67">
        <v>39965</v>
      </c>
      <c r="M86" s="67">
        <v>39995</v>
      </c>
    </row>
    <row r="87" spans="1:13">
      <c r="A87" s="68" t="s">
        <v>67</v>
      </c>
      <c r="B87" s="68">
        <v>31</v>
      </c>
      <c r="C87" s="68">
        <v>30</v>
      </c>
      <c r="D87" s="68">
        <v>31</v>
      </c>
      <c r="E87" s="68">
        <v>30</v>
      </c>
      <c r="F87" s="68">
        <v>31</v>
      </c>
      <c r="G87" s="68">
        <v>31</v>
      </c>
      <c r="H87" s="68">
        <v>28</v>
      </c>
      <c r="I87" s="68">
        <v>31</v>
      </c>
      <c r="J87" s="68">
        <v>30</v>
      </c>
      <c r="K87" s="68">
        <v>31</v>
      </c>
      <c r="L87" s="68">
        <v>30</v>
      </c>
      <c r="M87" s="68">
        <v>31</v>
      </c>
    </row>
    <row r="88" spans="1:13">
      <c r="A88" s="68" t="s">
        <v>68</v>
      </c>
      <c r="B88" s="68">
        <v>10</v>
      </c>
      <c r="C88" s="68">
        <v>8</v>
      </c>
      <c r="D88" s="68">
        <v>8</v>
      </c>
      <c r="E88" s="68">
        <v>10</v>
      </c>
      <c r="F88" s="68">
        <v>8</v>
      </c>
      <c r="G88" s="68">
        <v>9</v>
      </c>
      <c r="H88" s="68">
        <v>8</v>
      </c>
      <c r="I88" s="68">
        <v>9</v>
      </c>
      <c r="J88" s="68">
        <v>8</v>
      </c>
      <c r="K88" s="68">
        <v>10</v>
      </c>
      <c r="L88" s="68">
        <v>8</v>
      </c>
      <c r="M88" s="68">
        <v>8</v>
      </c>
    </row>
    <row r="89" spans="1:13">
      <c r="A89" s="68" t="s">
        <v>69</v>
      </c>
      <c r="B89" s="68">
        <v>0</v>
      </c>
      <c r="C89" s="68">
        <v>0</v>
      </c>
      <c r="D89" s="68">
        <v>0</v>
      </c>
      <c r="E89" s="68">
        <v>0</v>
      </c>
      <c r="F89" s="68">
        <v>2</v>
      </c>
      <c r="G89" s="68">
        <v>1</v>
      </c>
      <c r="H89" s="68">
        <v>0</v>
      </c>
      <c r="I89" s="68">
        <v>0</v>
      </c>
      <c r="J89" s="68">
        <v>3</v>
      </c>
      <c r="K89" s="68">
        <v>2</v>
      </c>
      <c r="L89" s="68">
        <v>1</v>
      </c>
      <c r="M89" s="68">
        <v>0</v>
      </c>
    </row>
    <row r="90" spans="1:13">
      <c r="A90" s="68" t="s">
        <v>70</v>
      </c>
      <c r="B90" s="68">
        <f t="shared" ref="B90:M90" si="5">B87-B88-B89-B92</f>
        <v>21</v>
      </c>
      <c r="C90" s="68">
        <f t="shared" si="5"/>
        <v>22</v>
      </c>
      <c r="D90" s="68">
        <f t="shared" si="5"/>
        <v>20</v>
      </c>
      <c r="E90" s="68">
        <f t="shared" si="5"/>
        <v>20</v>
      </c>
      <c r="F90" s="68">
        <f t="shared" si="5"/>
        <v>21</v>
      </c>
      <c r="G90" s="68">
        <f t="shared" si="5"/>
        <v>21</v>
      </c>
      <c r="H90" s="68">
        <f t="shared" si="5"/>
        <v>20</v>
      </c>
      <c r="I90" s="68">
        <f t="shared" si="5"/>
        <v>22</v>
      </c>
      <c r="J90" s="68">
        <f t="shared" si="5"/>
        <v>19</v>
      </c>
      <c r="K90" s="68">
        <f t="shared" si="5"/>
        <v>19</v>
      </c>
      <c r="L90" s="68">
        <f t="shared" si="5"/>
        <v>21</v>
      </c>
      <c r="M90" s="68">
        <f t="shared" si="5"/>
        <v>3</v>
      </c>
    </row>
    <row r="91" spans="1:13">
      <c r="A91" s="68" t="s">
        <v>71</v>
      </c>
      <c r="B91" s="68">
        <v>13</v>
      </c>
      <c r="C91" s="68">
        <v>20</v>
      </c>
      <c r="D91" s="68">
        <v>18</v>
      </c>
      <c r="E91" s="68">
        <v>22</v>
      </c>
      <c r="F91" s="68">
        <v>15</v>
      </c>
      <c r="G91" s="68">
        <v>22</v>
      </c>
      <c r="H91" s="68">
        <v>16</v>
      </c>
      <c r="I91" s="68">
        <v>15</v>
      </c>
      <c r="J91" s="68">
        <v>21</v>
      </c>
      <c r="K91" s="68">
        <v>19</v>
      </c>
      <c r="L91" s="68">
        <v>19</v>
      </c>
      <c r="M91" s="68">
        <v>0</v>
      </c>
    </row>
    <row r="92" spans="1:13">
      <c r="A92" s="68" t="s">
        <v>73</v>
      </c>
      <c r="B92" s="68">
        <v>0</v>
      </c>
      <c r="C92" s="68">
        <v>0</v>
      </c>
      <c r="D92" s="68">
        <v>3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20</v>
      </c>
    </row>
    <row r="93" spans="1:13" ht="15.75" thickBot="1"/>
    <row r="94" spans="1:13">
      <c r="A94" s="68" t="s">
        <v>67</v>
      </c>
      <c r="B94" s="68">
        <f>SUM(B87:M87)</f>
        <v>365</v>
      </c>
      <c r="D94" s="69">
        <v>1924</v>
      </c>
      <c r="E94" s="69">
        <f>D94</f>
        <v>1924</v>
      </c>
    </row>
    <row r="95" spans="1:13">
      <c r="A95" s="68" t="s">
        <v>68</v>
      </c>
      <c r="B95" s="68">
        <f>SUM(B88:M88)</f>
        <v>104</v>
      </c>
      <c r="D95" s="70">
        <f>C96*B96</f>
        <v>66.600000000000009</v>
      </c>
      <c r="E95" s="70">
        <f>D95</f>
        <v>66.600000000000009</v>
      </c>
    </row>
    <row r="96" spans="1:13">
      <c r="A96" s="68" t="s">
        <v>69</v>
      </c>
      <c r="B96" s="68">
        <f>SUM(B89:M89)</f>
        <v>9</v>
      </c>
      <c r="C96">
        <v>7.4</v>
      </c>
      <c r="D96" s="70"/>
      <c r="E96" s="70"/>
    </row>
    <row r="97" spans="1:13">
      <c r="A97" s="68" t="s">
        <v>70</v>
      </c>
      <c r="B97" s="140">
        <f>SUM(B90:M90)-1</f>
        <v>228</v>
      </c>
      <c r="D97" s="70"/>
      <c r="E97" s="70"/>
    </row>
    <row r="98" spans="1:13">
      <c r="A98" s="68" t="s">
        <v>71</v>
      </c>
      <c r="B98" s="68">
        <f>SUM(B91:M91)</f>
        <v>200</v>
      </c>
      <c r="D98" s="70">
        <f>C99*B99</f>
        <v>170.20000000000002</v>
      </c>
      <c r="E98" s="70">
        <f>D98</f>
        <v>170.20000000000002</v>
      </c>
    </row>
    <row r="99" spans="1:13">
      <c r="A99" s="68" t="s">
        <v>73</v>
      </c>
      <c r="B99" s="68">
        <f>SUM(B92:M92)</f>
        <v>23</v>
      </c>
      <c r="C99">
        <f>C96</f>
        <v>7.4</v>
      </c>
      <c r="D99" s="70">
        <f>C100*B100</f>
        <v>37</v>
      </c>
      <c r="E99" s="70"/>
    </row>
    <row r="100" spans="1:13" ht="16.5" thickBot="1">
      <c r="A100" s="68" t="s">
        <v>74</v>
      </c>
      <c r="B100" s="68">
        <v>5</v>
      </c>
      <c r="C100">
        <f>C99</f>
        <v>7.4</v>
      </c>
      <c r="D100" s="71">
        <f>D94-D95-D98-D99</f>
        <v>1650.2</v>
      </c>
      <c r="E100" s="71">
        <f>E94-E95-E98-E99</f>
        <v>1687.2</v>
      </c>
    </row>
    <row r="103" spans="1:13">
      <c r="B103" s="67">
        <v>39295</v>
      </c>
      <c r="C103" s="67">
        <v>39326</v>
      </c>
      <c r="D103" s="67">
        <v>39356</v>
      </c>
      <c r="E103" s="67">
        <v>39387</v>
      </c>
      <c r="F103" s="67">
        <v>39417</v>
      </c>
      <c r="G103" s="67">
        <v>39448</v>
      </c>
      <c r="H103" s="67">
        <v>39479</v>
      </c>
      <c r="I103" s="67">
        <v>39508</v>
      </c>
      <c r="J103" s="67">
        <v>39539</v>
      </c>
      <c r="K103" s="67">
        <v>39569</v>
      </c>
      <c r="L103" s="67">
        <v>39600</v>
      </c>
      <c r="M103" s="67">
        <v>39630</v>
      </c>
    </row>
    <row r="104" spans="1:13">
      <c r="A104" s="68" t="s">
        <v>67</v>
      </c>
      <c r="B104" s="68">
        <v>31</v>
      </c>
      <c r="C104" s="68">
        <v>30</v>
      </c>
      <c r="D104" s="68">
        <v>31</v>
      </c>
      <c r="E104" s="68">
        <v>30</v>
      </c>
      <c r="F104" s="68">
        <v>31</v>
      </c>
      <c r="G104" s="68">
        <v>31</v>
      </c>
      <c r="H104" s="68">
        <v>29</v>
      </c>
      <c r="I104" s="68">
        <v>31</v>
      </c>
      <c r="J104" s="68">
        <v>30</v>
      </c>
      <c r="K104" s="68">
        <v>31</v>
      </c>
      <c r="L104" s="68">
        <v>30</v>
      </c>
      <c r="M104" s="68">
        <v>31</v>
      </c>
    </row>
    <row r="105" spans="1:13">
      <c r="A105" s="68" t="s">
        <v>68</v>
      </c>
      <c r="B105" s="68">
        <v>8</v>
      </c>
      <c r="C105" s="68">
        <v>10</v>
      </c>
      <c r="D105" s="68">
        <v>8</v>
      </c>
      <c r="E105" s="68">
        <v>8</v>
      </c>
      <c r="F105" s="68">
        <v>10</v>
      </c>
      <c r="G105" s="68">
        <v>8</v>
      </c>
      <c r="H105" s="68">
        <v>8</v>
      </c>
      <c r="I105" s="68">
        <v>10</v>
      </c>
      <c r="J105" s="68">
        <v>8</v>
      </c>
      <c r="K105" s="68">
        <v>9</v>
      </c>
      <c r="L105" s="68">
        <v>9</v>
      </c>
      <c r="M105" s="68">
        <v>8</v>
      </c>
    </row>
    <row r="106" spans="1:13">
      <c r="A106" s="68" t="s">
        <v>69</v>
      </c>
      <c r="B106" s="68">
        <v>0</v>
      </c>
      <c r="C106" s="68">
        <v>0</v>
      </c>
      <c r="D106" s="68">
        <v>0</v>
      </c>
      <c r="E106" s="68">
        <v>0</v>
      </c>
      <c r="F106" s="68">
        <v>2</v>
      </c>
      <c r="G106" s="68">
        <v>1</v>
      </c>
      <c r="H106" s="68">
        <v>0</v>
      </c>
      <c r="I106" s="68">
        <v>3</v>
      </c>
      <c r="J106" s="68">
        <v>1</v>
      </c>
      <c r="K106" s="68">
        <v>2</v>
      </c>
      <c r="L106" s="68">
        <v>0</v>
      </c>
      <c r="M106" s="68">
        <v>0</v>
      </c>
    </row>
    <row r="107" spans="1:13">
      <c r="A107" s="68" t="s">
        <v>70</v>
      </c>
      <c r="B107" s="68">
        <f>B104-B105-B106</f>
        <v>23</v>
      </c>
      <c r="C107" s="68">
        <f t="shared" ref="C107:L107" si="6">C104-C105-C106</f>
        <v>20</v>
      </c>
      <c r="D107" s="68">
        <f t="shared" si="6"/>
        <v>23</v>
      </c>
      <c r="E107" s="68">
        <f t="shared" si="6"/>
        <v>22</v>
      </c>
      <c r="F107" s="68">
        <f t="shared" si="6"/>
        <v>19</v>
      </c>
      <c r="G107" s="68">
        <f t="shared" si="6"/>
        <v>22</v>
      </c>
      <c r="H107" s="68">
        <f t="shared" si="6"/>
        <v>21</v>
      </c>
      <c r="I107" s="68">
        <f t="shared" si="6"/>
        <v>18</v>
      </c>
      <c r="J107" s="68">
        <f t="shared" si="6"/>
        <v>21</v>
      </c>
      <c r="K107" s="68">
        <f t="shared" si="6"/>
        <v>20</v>
      </c>
      <c r="L107" s="68">
        <f t="shared" si="6"/>
        <v>21</v>
      </c>
      <c r="M107" s="140">
        <v>0</v>
      </c>
    </row>
    <row r="108" spans="1:13">
      <c r="A108" s="68" t="s">
        <v>71</v>
      </c>
      <c r="B108" s="68">
        <v>13</v>
      </c>
      <c r="C108" s="68">
        <v>20</v>
      </c>
      <c r="D108" s="68">
        <v>18</v>
      </c>
      <c r="E108" s="68">
        <v>22</v>
      </c>
      <c r="F108" s="68">
        <v>15</v>
      </c>
      <c r="G108" s="68">
        <v>22</v>
      </c>
      <c r="H108" s="68">
        <v>16</v>
      </c>
      <c r="I108" s="68">
        <v>15</v>
      </c>
      <c r="J108" s="68">
        <v>21</v>
      </c>
      <c r="K108" s="68">
        <v>19</v>
      </c>
      <c r="L108" s="68">
        <v>19</v>
      </c>
      <c r="M108" s="68">
        <v>0</v>
      </c>
    </row>
    <row r="110" spans="1:13">
      <c r="A110" s="68" t="s">
        <v>67</v>
      </c>
      <c r="B110" s="68">
        <f>SUM(B104:M104)</f>
        <v>366</v>
      </c>
    </row>
    <row r="111" spans="1:13">
      <c r="A111" s="68" t="s">
        <v>68</v>
      </c>
      <c r="B111" s="68">
        <f>SUM(B105:M105)</f>
        <v>104</v>
      </c>
    </row>
    <row r="112" spans="1:13">
      <c r="A112" s="68" t="s">
        <v>69</v>
      </c>
      <c r="B112" s="68">
        <f>SUM(B106:M106)</f>
        <v>9</v>
      </c>
    </row>
    <row r="113" spans="1:2">
      <c r="A113" s="68" t="s">
        <v>70</v>
      </c>
      <c r="B113" s="140">
        <f>SUM(B107:M107)-1</f>
        <v>229</v>
      </c>
    </row>
    <row r="114" spans="1:2">
      <c r="A114" s="68" t="s">
        <v>71</v>
      </c>
      <c r="B114" s="68">
        <f>SUM(B108:M108)</f>
        <v>200</v>
      </c>
    </row>
  </sheetData>
  <phoneticPr fontId="13" type="noConversion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9" enableFormatConditionsCalculation="0">
    <tabColor indexed="63"/>
  </sheetPr>
  <dimension ref="A1:J115"/>
  <sheetViews>
    <sheetView defaultGridColor="0" colorId="22" zoomScale="87" zoomScaleNormal="87" workbookViewId="0"/>
  </sheetViews>
  <sheetFormatPr defaultColWidth="9.77734375" defaultRowHeight="15"/>
  <cols>
    <col min="1" max="1" width="10.88671875" customWidth="1"/>
    <col min="2" max="2" width="11" style="7" bestFit="1" customWidth="1"/>
    <col min="3" max="3" width="10.6640625" style="7" customWidth="1"/>
    <col min="4" max="4" width="10.44140625" bestFit="1" customWidth="1"/>
    <col min="5" max="5" width="9.88671875" bestFit="1" customWidth="1"/>
    <col min="6" max="6" width="12.109375" customWidth="1"/>
    <col min="7" max="7" width="10.44140625" bestFit="1" customWidth="1"/>
    <col min="8" max="8" width="8.77734375" bestFit="1" customWidth="1"/>
  </cols>
  <sheetData>
    <row r="1" spans="1:4" ht="16.5" thickTop="1">
      <c r="A1" s="17" t="s">
        <v>23</v>
      </c>
      <c r="B1" s="18"/>
      <c r="C1" s="19"/>
      <c r="D1" s="20"/>
    </row>
    <row r="2" spans="1:4" ht="15.75">
      <c r="A2" s="21" t="s">
        <v>24</v>
      </c>
      <c r="B2" s="22"/>
      <c r="C2" s="23"/>
      <c r="D2" s="24"/>
    </row>
    <row r="3" spans="1:4" ht="16.5" thickBot="1">
      <c r="A3" s="25" t="s">
        <v>25</v>
      </c>
      <c r="B3" s="26"/>
      <c r="C3" s="27"/>
      <c r="D3" s="28"/>
    </row>
    <row r="4" spans="1:4" ht="0.2" customHeight="1" thickTop="1"/>
    <row r="5" spans="1:4" ht="0.2" customHeight="1"/>
    <row r="6" spans="1:4" ht="0.2" customHeight="1"/>
    <row r="7" spans="1:4" ht="0.2" customHeight="1"/>
    <row r="8" spans="1:4" ht="0.2" customHeight="1"/>
    <row r="9" spans="1:4" ht="0.2" customHeight="1"/>
    <row r="10" spans="1:4" ht="0.2" customHeight="1"/>
    <row r="11" spans="1:4" ht="0.2" customHeight="1"/>
    <row r="12" spans="1:4" ht="0.2" customHeight="1"/>
    <row r="13" spans="1:4" ht="0.2" customHeight="1">
      <c r="B13" s="8"/>
      <c r="C13" s="10"/>
      <c r="D13" s="3"/>
    </row>
    <row r="14" spans="1:4" ht="0.2" customHeight="1">
      <c r="B14" s="8"/>
      <c r="C14" s="10"/>
      <c r="D14" s="3"/>
    </row>
    <row r="15" spans="1:4" ht="0.2" customHeight="1">
      <c r="B15" s="9"/>
      <c r="C15" s="11"/>
      <c r="D15" s="3"/>
    </row>
    <row r="16" spans="1:4" ht="0.2" customHeight="1">
      <c r="B16" s="9"/>
      <c r="C16" s="11"/>
      <c r="D16" s="3"/>
    </row>
    <row r="17" spans="1:10" ht="0.2" customHeight="1">
      <c r="B17" s="9"/>
      <c r="C17" s="11"/>
      <c r="D17" s="3"/>
    </row>
    <row r="18" spans="1:10" ht="0.2" customHeight="1">
      <c r="B18" s="9"/>
      <c r="C18" s="11"/>
      <c r="D18" s="3"/>
    </row>
    <row r="19" spans="1:10" ht="0.2" customHeight="1" thickBot="1">
      <c r="C19" s="11"/>
      <c r="D19" s="3"/>
    </row>
    <row r="20" spans="1:10" ht="15.75" customHeight="1" thickTop="1" thickBot="1">
      <c r="A20" s="30" t="s">
        <v>33</v>
      </c>
      <c r="B20" s="202" t="s">
        <v>163</v>
      </c>
    </row>
    <row r="21" spans="1:10" ht="15" customHeight="1">
      <c r="B21" s="59"/>
      <c r="C21" s="50" t="s">
        <v>1</v>
      </c>
    </row>
    <row r="22" spans="1:10" ht="15.6" customHeight="1">
      <c r="A22" s="56" t="s">
        <v>0</v>
      </c>
      <c r="B22" s="194">
        <v>1.2770889999999999</v>
      </c>
      <c r="C22" s="31">
        <v>1</v>
      </c>
      <c r="D22" s="57" t="s">
        <v>54</v>
      </c>
      <c r="F22" s="61"/>
      <c r="G22" s="62"/>
      <c r="H22" s="62"/>
      <c r="I22" s="62"/>
      <c r="J22" s="63"/>
    </row>
    <row r="23" spans="1:10" ht="15.6" customHeight="1">
      <c r="A23" s="58">
        <v>23</v>
      </c>
      <c r="B23" s="189">
        <v>282169</v>
      </c>
      <c r="C23" s="59"/>
      <c r="D23" s="189">
        <v>267746</v>
      </c>
      <c r="E23" s="1"/>
      <c r="F23" s="61"/>
      <c r="G23" s="62"/>
      <c r="H23" s="63"/>
      <c r="I23" s="62"/>
    </row>
    <row r="24" spans="1:10" ht="15.75">
      <c r="A24" s="58">
        <v>24</v>
      </c>
      <c r="B24" s="189">
        <v>286096</v>
      </c>
      <c r="C24" s="59">
        <f t="shared" ref="C24:C53" si="0">B24-B23</f>
        <v>3927</v>
      </c>
      <c r="D24" s="189">
        <v>272083</v>
      </c>
      <c r="E24" s="1"/>
      <c r="F24" s="61"/>
      <c r="G24" s="62"/>
      <c r="H24" s="63"/>
      <c r="I24" s="62"/>
    </row>
    <row r="25" spans="1:10" ht="15.75">
      <c r="A25" s="58">
        <v>25</v>
      </c>
      <c r="B25" s="189">
        <v>290087</v>
      </c>
      <c r="C25" s="59">
        <f t="shared" si="0"/>
        <v>3991</v>
      </c>
      <c r="D25" s="189">
        <v>276510</v>
      </c>
      <c r="E25" s="1"/>
      <c r="F25" s="64"/>
      <c r="G25" s="62"/>
      <c r="H25" s="66"/>
      <c r="I25" s="65"/>
    </row>
    <row r="26" spans="1:10" ht="15.75">
      <c r="A26" s="58">
        <v>26</v>
      </c>
      <c r="B26" s="189">
        <v>294149</v>
      </c>
      <c r="C26" s="59">
        <f t="shared" si="0"/>
        <v>4062</v>
      </c>
      <c r="D26" s="189">
        <v>281040</v>
      </c>
      <c r="E26" s="1"/>
      <c r="F26" s="61"/>
      <c r="G26" s="62"/>
      <c r="H26" s="63"/>
      <c r="I26" s="62"/>
    </row>
    <row r="27" spans="1:10" ht="15.75">
      <c r="A27" s="58">
        <v>27</v>
      </c>
      <c r="B27" s="189">
        <v>298279</v>
      </c>
      <c r="C27" s="59">
        <f t="shared" si="0"/>
        <v>4130</v>
      </c>
      <c r="D27" s="189">
        <v>285673</v>
      </c>
      <c r="E27" s="1"/>
      <c r="F27" s="61"/>
      <c r="G27" s="62"/>
      <c r="H27" s="63"/>
      <c r="I27" s="62"/>
    </row>
    <row r="28" spans="1:10" ht="15.75">
      <c r="A28" s="58">
        <v>28</v>
      </c>
      <c r="B28" s="189">
        <v>302479</v>
      </c>
      <c r="C28" s="59">
        <f t="shared" si="0"/>
        <v>4200</v>
      </c>
      <c r="D28" s="189">
        <v>290409</v>
      </c>
      <c r="E28" s="1"/>
      <c r="F28" s="61"/>
      <c r="G28" s="62"/>
      <c r="H28" s="63"/>
      <c r="I28" s="62"/>
    </row>
    <row r="29" spans="1:10" ht="15.75">
      <c r="A29" s="58">
        <v>29</v>
      </c>
      <c r="B29" s="189">
        <v>306750</v>
      </c>
      <c r="C29" s="59">
        <f t="shared" si="0"/>
        <v>4271</v>
      </c>
      <c r="D29" s="189">
        <v>295251</v>
      </c>
      <c r="E29" s="1"/>
      <c r="F29" s="61"/>
      <c r="G29" s="62"/>
      <c r="H29" s="63"/>
      <c r="I29" s="62"/>
    </row>
    <row r="30" spans="1:10" ht="15.75">
      <c r="A30" s="58">
        <v>30</v>
      </c>
      <c r="B30" s="189">
        <v>311087</v>
      </c>
      <c r="C30" s="59">
        <f t="shared" si="0"/>
        <v>4337</v>
      </c>
      <c r="D30" s="189">
        <v>300199</v>
      </c>
      <c r="E30" s="1"/>
      <c r="F30" s="64"/>
      <c r="G30" s="65"/>
      <c r="H30" s="66"/>
      <c r="I30" s="65"/>
    </row>
    <row r="31" spans="1:10" ht="15.75">
      <c r="A31" s="58">
        <v>31</v>
      </c>
      <c r="B31" s="189">
        <v>315501</v>
      </c>
      <c r="C31" s="59">
        <f t="shared" si="0"/>
        <v>4414</v>
      </c>
      <c r="D31" s="189">
        <v>305259</v>
      </c>
      <c r="E31" s="1"/>
      <c r="F31" s="61"/>
      <c r="G31" s="62"/>
      <c r="H31" s="63"/>
      <c r="I31" s="62"/>
    </row>
    <row r="32" spans="1:10" ht="15.75">
      <c r="A32" s="58">
        <v>32</v>
      </c>
      <c r="B32" s="189">
        <v>319984</v>
      </c>
      <c r="C32" s="59">
        <f t="shared" si="0"/>
        <v>4483</v>
      </c>
      <c r="D32" s="189">
        <v>310431</v>
      </c>
      <c r="E32" s="1"/>
      <c r="F32" s="61"/>
      <c r="G32" s="62"/>
      <c r="H32" s="63"/>
      <c r="I32" s="62"/>
    </row>
    <row r="33" spans="1:9" ht="15.75">
      <c r="A33" s="58">
        <v>33</v>
      </c>
      <c r="B33" s="189">
        <v>324537</v>
      </c>
      <c r="C33" s="59">
        <f t="shared" si="0"/>
        <v>4553</v>
      </c>
      <c r="D33" s="189">
        <v>315716</v>
      </c>
      <c r="E33" s="1"/>
      <c r="F33" s="61"/>
      <c r="G33" s="62"/>
      <c r="H33" s="63"/>
      <c r="I33" s="62"/>
    </row>
    <row r="34" spans="1:9" ht="15.75">
      <c r="A34" s="58">
        <v>34</v>
      </c>
      <c r="B34" s="189">
        <v>329170</v>
      </c>
      <c r="C34" s="59">
        <f t="shared" si="0"/>
        <v>4633</v>
      </c>
      <c r="D34" s="189">
        <v>321123</v>
      </c>
      <c r="E34" s="1"/>
      <c r="F34" s="61"/>
      <c r="G34" s="62"/>
      <c r="H34" s="63"/>
      <c r="I34" s="62"/>
    </row>
    <row r="35" spans="1:9" ht="15.75">
      <c r="A35" s="58">
        <v>35</v>
      </c>
      <c r="B35" s="189">
        <v>333870</v>
      </c>
      <c r="C35" s="59">
        <f t="shared" si="0"/>
        <v>4700</v>
      </c>
      <c r="D35" s="189">
        <v>326644</v>
      </c>
      <c r="E35" s="1"/>
      <c r="F35" s="64"/>
      <c r="G35" s="65"/>
      <c r="H35" s="66"/>
      <c r="I35" s="65"/>
    </row>
    <row r="36" spans="1:9" ht="15.75">
      <c r="A36" s="58">
        <v>36</v>
      </c>
      <c r="B36" s="189">
        <v>338646</v>
      </c>
      <c r="C36" s="59">
        <f t="shared" si="0"/>
        <v>4776</v>
      </c>
      <c r="D36" s="189">
        <v>332291</v>
      </c>
      <c r="E36" s="1"/>
      <c r="F36" s="61"/>
      <c r="G36" s="62"/>
      <c r="H36" s="63"/>
      <c r="I36" s="62"/>
    </row>
    <row r="37" spans="1:9" ht="15.75">
      <c r="A37" s="58">
        <v>37</v>
      </c>
      <c r="B37" s="189">
        <v>343495</v>
      </c>
      <c r="C37" s="59">
        <f t="shared" si="0"/>
        <v>4849</v>
      </c>
      <c r="D37" s="189">
        <v>338061</v>
      </c>
      <c r="E37" s="1"/>
      <c r="F37" s="61"/>
      <c r="G37" s="62"/>
      <c r="H37" s="63"/>
      <c r="I37" s="62"/>
    </row>
    <row r="38" spans="1:9" ht="15.75">
      <c r="A38" s="58">
        <v>38</v>
      </c>
      <c r="B38" s="189">
        <v>348736</v>
      </c>
      <c r="C38" s="59">
        <f t="shared" si="0"/>
        <v>5241</v>
      </c>
      <c r="D38" s="189">
        <v>344186</v>
      </c>
      <c r="E38" s="1"/>
      <c r="F38" s="61"/>
      <c r="G38" s="62"/>
      <c r="H38" s="63"/>
      <c r="I38" s="62"/>
    </row>
    <row r="39" spans="1:9" ht="15.75">
      <c r="A39" s="58">
        <v>39</v>
      </c>
      <c r="B39" s="189">
        <v>353838</v>
      </c>
      <c r="C39" s="59">
        <f t="shared" si="0"/>
        <v>5102</v>
      </c>
      <c r="D39" s="189">
        <v>350335</v>
      </c>
      <c r="E39" s="1"/>
      <c r="F39" s="61"/>
      <c r="G39" s="62"/>
      <c r="H39" s="63"/>
      <c r="I39" s="62"/>
    </row>
    <row r="40" spans="1:9" ht="15.75">
      <c r="A40" s="58">
        <v>40</v>
      </c>
      <c r="B40" s="189">
        <v>359020</v>
      </c>
      <c r="C40" s="59">
        <f t="shared" si="0"/>
        <v>5182</v>
      </c>
      <c r="D40" s="189">
        <v>356623</v>
      </c>
      <c r="E40" s="1"/>
      <c r="F40" s="64"/>
      <c r="G40" s="65"/>
      <c r="H40" s="66"/>
      <c r="I40" s="65"/>
    </row>
    <row r="41" spans="1:9" ht="15.75">
      <c r="A41" s="58">
        <v>41</v>
      </c>
      <c r="B41" s="189">
        <v>364278</v>
      </c>
      <c r="C41" s="59">
        <f t="shared" si="0"/>
        <v>5258</v>
      </c>
      <c r="D41" s="189">
        <v>363048</v>
      </c>
      <c r="E41" s="1"/>
      <c r="F41" s="61"/>
      <c r="G41" s="62"/>
      <c r="H41" s="63"/>
      <c r="I41" s="62"/>
    </row>
    <row r="42" spans="1:9" ht="15.75">
      <c r="A42" s="58">
        <v>42</v>
      </c>
      <c r="B42" s="189">
        <v>369613</v>
      </c>
      <c r="C42" s="59">
        <f t="shared" si="0"/>
        <v>5335</v>
      </c>
      <c r="D42" s="189">
        <v>369613</v>
      </c>
      <c r="E42" s="1"/>
      <c r="F42" s="61"/>
      <c r="G42" s="62"/>
      <c r="H42" s="63"/>
      <c r="I42" s="62"/>
    </row>
    <row r="43" spans="1:9" ht="15.75">
      <c r="A43" s="58">
        <v>43</v>
      </c>
      <c r="B43" s="189">
        <v>377827</v>
      </c>
      <c r="C43" s="59">
        <f t="shared" si="0"/>
        <v>8214</v>
      </c>
      <c r="D43" s="189">
        <v>377827</v>
      </c>
      <c r="E43" s="1"/>
      <c r="F43" s="61"/>
      <c r="G43" s="62"/>
      <c r="H43" s="63"/>
      <c r="I43" s="62"/>
    </row>
    <row r="44" spans="1:9" ht="15.75">
      <c r="A44" s="58">
        <v>44</v>
      </c>
      <c r="B44" s="189">
        <v>386268</v>
      </c>
      <c r="C44" s="59">
        <f t="shared" si="0"/>
        <v>8441</v>
      </c>
      <c r="D44" s="189">
        <v>386268</v>
      </c>
      <c r="E44" s="1"/>
      <c r="F44" s="61"/>
      <c r="G44" s="62"/>
      <c r="H44" s="63"/>
      <c r="I44" s="62"/>
    </row>
    <row r="45" spans="1:9" ht="15.75">
      <c r="A45" s="58">
        <v>45</v>
      </c>
      <c r="B45" s="189">
        <v>394941</v>
      </c>
      <c r="C45" s="59">
        <f t="shared" si="0"/>
        <v>8673</v>
      </c>
      <c r="D45" s="189">
        <v>394941</v>
      </c>
      <c r="E45" s="1"/>
      <c r="F45" s="64"/>
      <c r="G45" s="65"/>
      <c r="H45" s="66"/>
      <c r="I45" s="65"/>
    </row>
    <row r="46" spans="1:9" ht="15.75">
      <c r="A46" s="58">
        <v>46</v>
      </c>
      <c r="B46" s="189">
        <v>403853</v>
      </c>
      <c r="C46" s="59">
        <f t="shared" si="0"/>
        <v>8912</v>
      </c>
      <c r="D46" s="189">
        <v>403853</v>
      </c>
      <c r="E46" s="1"/>
      <c r="F46" s="61"/>
      <c r="G46" s="62"/>
      <c r="H46" s="63"/>
      <c r="I46" s="62"/>
    </row>
    <row r="47" spans="1:9" ht="15.75">
      <c r="A47" s="58">
        <v>47</v>
      </c>
      <c r="B47" s="189">
        <v>411041</v>
      </c>
      <c r="C47" s="59">
        <f t="shared" si="0"/>
        <v>7188</v>
      </c>
      <c r="D47" s="189">
        <v>411041</v>
      </c>
      <c r="E47" s="1"/>
      <c r="F47" s="61"/>
      <c r="G47" s="62"/>
      <c r="H47" s="63"/>
      <c r="I47" s="62"/>
    </row>
    <row r="48" spans="1:9" ht="15.75">
      <c r="A48" s="58">
        <v>48</v>
      </c>
      <c r="B48" s="189">
        <v>429936</v>
      </c>
      <c r="C48" s="59">
        <f t="shared" si="0"/>
        <v>18895</v>
      </c>
      <c r="D48" s="189">
        <v>429936</v>
      </c>
      <c r="E48" s="1"/>
      <c r="F48" s="61"/>
      <c r="G48" s="62"/>
      <c r="H48" s="63"/>
      <c r="I48" s="62"/>
    </row>
    <row r="49" spans="1:10" ht="15.75">
      <c r="A49" s="58">
        <v>49</v>
      </c>
      <c r="B49" s="189">
        <v>458789</v>
      </c>
      <c r="C49" s="59">
        <f t="shared" si="0"/>
        <v>28853</v>
      </c>
      <c r="D49" s="189">
        <v>458789</v>
      </c>
      <c r="E49" s="1"/>
      <c r="F49" s="61"/>
      <c r="G49" s="62"/>
      <c r="H49" s="63"/>
      <c r="I49" s="62"/>
    </row>
    <row r="50" spans="1:10" ht="15.75">
      <c r="A50" s="58">
        <v>50</v>
      </c>
      <c r="B50" s="189">
        <v>490816</v>
      </c>
      <c r="C50" s="59">
        <f t="shared" si="0"/>
        <v>32027</v>
      </c>
      <c r="D50" s="189">
        <v>490816</v>
      </c>
      <c r="E50" s="1"/>
      <c r="F50" s="64"/>
      <c r="G50" s="65"/>
      <c r="H50" s="66"/>
      <c r="I50" s="65"/>
    </row>
    <row r="51" spans="1:10" ht="15.75">
      <c r="A51" s="58">
        <v>51</v>
      </c>
      <c r="B51" s="189">
        <v>542142</v>
      </c>
      <c r="C51" s="59">
        <f t="shared" si="0"/>
        <v>51326</v>
      </c>
      <c r="D51" s="189">
        <v>542142</v>
      </c>
      <c r="E51" s="1"/>
      <c r="F51" s="61"/>
      <c r="G51" s="62"/>
      <c r="H51" s="63"/>
      <c r="I51" s="62"/>
    </row>
    <row r="52" spans="1:10" ht="15.75">
      <c r="A52" s="58">
        <v>52</v>
      </c>
      <c r="B52" s="189">
        <v>616890</v>
      </c>
      <c r="C52" s="59">
        <f t="shared" si="0"/>
        <v>74748</v>
      </c>
      <c r="D52" s="189">
        <v>616890</v>
      </c>
      <c r="E52" s="1"/>
      <c r="F52" s="61"/>
      <c r="G52" s="62"/>
      <c r="H52" s="63"/>
      <c r="I52" s="62"/>
    </row>
    <row r="53" spans="1:10" ht="15.75">
      <c r="A53" s="58">
        <v>53</v>
      </c>
      <c r="B53" s="189">
        <v>677322</v>
      </c>
      <c r="C53" s="59">
        <f t="shared" si="0"/>
        <v>60432</v>
      </c>
      <c r="D53" s="189">
        <v>677322</v>
      </c>
      <c r="E53" s="1"/>
      <c r="F53" s="61"/>
      <c r="G53" s="62"/>
      <c r="H53" s="63"/>
      <c r="I53" s="62"/>
    </row>
    <row r="54" spans="1:10" ht="15.75">
      <c r="A54" s="35"/>
      <c r="B54" s="36"/>
      <c r="C54" s="8"/>
      <c r="F54" s="61"/>
      <c r="G54" s="62"/>
      <c r="H54" s="62"/>
      <c r="I54" s="62"/>
      <c r="J54" s="63"/>
    </row>
    <row r="55" spans="1:10" ht="16.5" thickBot="1">
      <c r="B55" s="50" t="s">
        <v>1</v>
      </c>
      <c r="C55" s="51" t="str">
        <f>B20</f>
        <v>1.4.2013</v>
      </c>
      <c r="F55" s="61"/>
      <c r="G55" s="62"/>
      <c r="H55" s="65"/>
      <c r="I55" s="65"/>
      <c r="J55" s="66"/>
    </row>
    <row r="56" spans="1:10" ht="15.75">
      <c r="B56" s="53">
        <f>C22</f>
        <v>1</v>
      </c>
      <c r="C56" s="53">
        <f>B22</f>
        <v>1.2770889999999999</v>
      </c>
      <c r="E56" s="210" t="s">
        <v>23</v>
      </c>
      <c r="F56" s="211"/>
      <c r="G56" s="212"/>
      <c r="H56" s="65"/>
      <c r="I56" s="65"/>
      <c r="J56" s="66"/>
    </row>
    <row r="57" spans="1:10" ht="15.75">
      <c r="A57">
        <v>3000</v>
      </c>
      <c r="B57" s="52">
        <v>3000</v>
      </c>
      <c r="C57" s="52">
        <f t="shared" ref="C57:C73" si="1">ROUND($B$22*B57,2)</f>
        <v>3831.27</v>
      </c>
      <c r="E57" s="213" t="s">
        <v>24</v>
      </c>
      <c r="F57" s="23"/>
      <c r="G57" s="214"/>
    </row>
    <row r="58" spans="1:10" ht="15.75">
      <c r="A58">
        <v>2000</v>
      </c>
      <c r="B58" s="32">
        <v>2000</v>
      </c>
      <c r="C58" s="32">
        <f t="shared" si="1"/>
        <v>2554.1799999999998</v>
      </c>
      <c r="E58" s="213" t="s">
        <v>25</v>
      </c>
      <c r="F58" s="23"/>
      <c r="G58" s="214"/>
    </row>
    <row r="59" spans="1:10" ht="16.5" thickBot="1">
      <c r="A59">
        <v>7000</v>
      </c>
      <c r="B59" s="32">
        <v>7000</v>
      </c>
      <c r="C59" s="32">
        <f t="shared" si="1"/>
        <v>8939.6200000000008</v>
      </c>
      <c r="E59" s="215"/>
      <c r="F59" s="216"/>
      <c r="G59" s="217"/>
    </row>
    <row r="60" spans="1:10">
      <c r="A60">
        <v>10000</v>
      </c>
      <c r="B60" s="32">
        <v>10000</v>
      </c>
      <c r="C60" s="32">
        <f t="shared" si="1"/>
        <v>12770.89</v>
      </c>
    </row>
    <row r="61" spans="1:10" ht="15.75">
      <c r="A61">
        <v>13000</v>
      </c>
      <c r="B61" s="32">
        <v>13000</v>
      </c>
      <c r="C61" s="32">
        <f t="shared" si="1"/>
        <v>16602.16</v>
      </c>
      <c r="D61" s="2"/>
    </row>
    <row r="62" spans="1:10" ht="15.75">
      <c r="A62" t="s">
        <v>92</v>
      </c>
      <c r="B62" s="32">
        <v>7041</v>
      </c>
      <c r="C62" s="32">
        <f t="shared" si="1"/>
        <v>8991.98</v>
      </c>
      <c r="D62" s="2" t="s">
        <v>145</v>
      </c>
    </row>
    <row r="63" spans="1:10" s="195" customFormat="1" ht="15.75">
      <c r="A63" s="195" t="s">
        <v>92</v>
      </c>
      <c r="B63" s="32">
        <f>B62+1488</f>
        <v>8529</v>
      </c>
      <c r="C63" s="32">
        <f t="shared" si="1"/>
        <v>10892.29</v>
      </c>
      <c r="D63" s="2" t="s">
        <v>144</v>
      </c>
    </row>
    <row r="64" spans="1:10" ht="15.75">
      <c r="A64" t="s">
        <v>96</v>
      </c>
      <c r="B64" s="32">
        <v>2686</v>
      </c>
      <c r="C64" s="32">
        <f t="shared" si="1"/>
        <v>3430.26</v>
      </c>
      <c r="D64" s="2"/>
    </row>
    <row r="65" spans="1:6" ht="15.75">
      <c r="A65" t="s">
        <v>97</v>
      </c>
      <c r="B65" s="32">
        <v>4641</v>
      </c>
      <c r="C65" s="32">
        <f t="shared" si="1"/>
        <v>5926.97</v>
      </c>
      <c r="D65" s="2" t="s">
        <v>145</v>
      </c>
    </row>
    <row r="66" spans="1:6" s="195" customFormat="1" ht="15.75">
      <c r="A66" s="195" t="s">
        <v>97</v>
      </c>
      <c r="B66" s="32">
        <f>B65+1488</f>
        <v>6129</v>
      </c>
      <c r="C66" s="32">
        <f t="shared" ref="C66" si="2">ROUND($B$22*B66,2)</f>
        <v>7827.28</v>
      </c>
      <c r="D66" s="2" t="s">
        <v>144</v>
      </c>
    </row>
    <row r="67" spans="1:6" ht="15.75">
      <c r="A67" t="s">
        <v>93</v>
      </c>
      <c r="B67" s="33">
        <v>7200</v>
      </c>
      <c r="C67" s="32">
        <f>ROUND($B$22*B67,2)</f>
        <v>9195.0400000000009</v>
      </c>
      <c r="D67" s="2"/>
    </row>
    <row r="68" spans="1:6" ht="15.75">
      <c r="A68" t="s">
        <v>138</v>
      </c>
      <c r="B68" s="33">
        <f>4111.36</f>
        <v>4111.3599999999997</v>
      </c>
      <c r="C68" s="32">
        <f>ROUND($B$22*B68,2)</f>
        <v>5250.57</v>
      </c>
      <c r="D68" s="2"/>
    </row>
    <row r="69" spans="1:6">
      <c r="A69" s="200" t="s">
        <v>147</v>
      </c>
      <c r="B69" s="33">
        <v>26400</v>
      </c>
      <c r="C69" s="32">
        <f t="shared" si="1"/>
        <v>33715.15</v>
      </c>
      <c r="D69" s="32"/>
    </row>
    <row r="70" spans="1:6">
      <c r="A70" s="200" t="s">
        <v>148</v>
      </c>
      <c r="B70" s="33">
        <v>43</v>
      </c>
      <c r="C70" s="32">
        <f t="shared" si="1"/>
        <v>54.91</v>
      </c>
    </row>
    <row r="71" spans="1:6" ht="15.75">
      <c r="A71" s="200" t="s">
        <v>146</v>
      </c>
      <c r="B71" s="33">
        <v>20</v>
      </c>
      <c r="C71" s="32">
        <f t="shared" si="1"/>
        <v>25.54</v>
      </c>
      <c r="D71" s="2" t="s">
        <v>151</v>
      </c>
    </row>
    <row r="72" spans="1:6" ht="15.75">
      <c r="A72" s="200" t="s">
        <v>146</v>
      </c>
      <c r="B72" s="7">
        <v>27.25</v>
      </c>
      <c r="C72" s="7">
        <f t="shared" si="1"/>
        <v>34.799999999999997</v>
      </c>
      <c r="D72" s="2" t="s">
        <v>149</v>
      </c>
    </row>
    <row r="73" spans="1:6" s="195" customFormat="1" ht="15.75">
      <c r="A73" s="200" t="s">
        <v>146</v>
      </c>
      <c r="B73" s="7">
        <v>7.25</v>
      </c>
      <c r="C73" s="7">
        <f t="shared" si="1"/>
        <v>9.26</v>
      </c>
      <c r="D73" s="2" t="s">
        <v>150</v>
      </c>
    </row>
    <row r="74" spans="1:6">
      <c r="B74" s="34"/>
      <c r="C74" s="32"/>
    </row>
    <row r="75" spans="1:6">
      <c r="A75" t="s">
        <v>72</v>
      </c>
      <c r="B75" s="33">
        <v>28300</v>
      </c>
      <c r="C75" s="32">
        <f>ROUND($B$22*B75,2)</f>
        <v>36141.620000000003</v>
      </c>
    </row>
    <row r="76" spans="1:6" ht="15.75">
      <c r="A76" t="s">
        <v>11</v>
      </c>
      <c r="B76" s="33">
        <v>27.09</v>
      </c>
      <c r="C76" s="32">
        <f>ROUND($B$22*B76,2)</f>
        <v>34.6</v>
      </c>
      <c r="D76" t="s">
        <v>12</v>
      </c>
      <c r="F76" s="2" t="s">
        <v>145</v>
      </c>
    </row>
    <row r="77" spans="1:6" s="195" customFormat="1" ht="15.75">
      <c r="A77" s="195" t="s">
        <v>11</v>
      </c>
      <c r="B77" s="33">
        <f>B76+4.13</f>
        <v>31.22</v>
      </c>
      <c r="C77" s="32">
        <f>ROUND($B$22*B77,2)</f>
        <v>39.869999999999997</v>
      </c>
      <c r="D77" s="200" t="s">
        <v>12</v>
      </c>
      <c r="F77" s="2" t="s">
        <v>144</v>
      </c>
    </row>
    <row r="78" spans="1:6" ht="15.75">
      <c r="A78" t="s">
        <v>13</v>
      </c>
      <c r="B78" s="33">
        <v>84.05</v>
      </c>
      <c r="C78" s="32">
        <f>ROUND($B$22*B78,2)</f>
        <v>107.34</v>
      </c>
      <c r="D78" t="s">
        <v>14</v>
      </c>
      <c r="F78" s="2"/>
    </row>
    <row r="79" spans="1:6">
      <c r="A79" t="s">
        <v>15</v>
      </c>
      <c r="B79" s="33">
        <v>28.13</v>
      </c>
      <c r="C79" s="32">
        <f>ROUND($B$22*B79,2)</f>
        <v>35.92</v>
      </c>
      <c r="D79" t="s">
        <v>16</v>
      </c>
    </row>
    <row r="80" spans="1:6">
      <c r="B80" s="33"/>
      <c r="C80" s="33"/>
    </row>
    <row r="81" spans="1:6" ht="15.75">
      <c r="A81" t="s">
        <v>17</v>
      </c>
      <c r="B81" s="33">
        <v>9.9600000000000009</v>
      </c>
      <c r="C81" s="32">
        <f t="shared" ref="C81:C103" si="3">ROUND($B$22*B81,2)</f>
        <v>12.72</v>
      </c>
      <c r="D81" t="s">
        <v>12</v>
      </c>
      <c r="F81" s="2" t="s">
        <v>145</v>
      </c>
    </row>
    <row r="82" spans="1:6" s="195" customFormat="1" ht="15.75">
      <c r="A82" s="195" t="s">
        <v>17</v>
      </c>
      <c r="B82" s="33">
        <f>B81+1.52</f>
        <v>11.48</v>
      </c>
      <c r="C82" s="32">
        <f t="shared" ref="C82" si="4">ROUND($B$22*B82,2)</f>
        <v>14.66</v>
      </c>
      <c r="D82" s="195" t="s">
        <v>12</v>
      </c>
      <c r="F82" s="2" t="s">
        <v>144</v>
      </c>
    </row>
    <row r="83" spans="1:6" s="195" customFormat="1">
      <c r="A83" s="195" t="s">
        <v>18</v>
      </c>
      <c r="B83" s="33">
        <f>B78</f>
        <v>84.05</v>
      </c>
      <c r="C83" s="32">
        <f t="shared" si="3"/>
        <v>107.34</v>
      </c>
      <c r="D83" s="195" t="s">
        <v>14</v>
      </c>
    </row>
    <row r="84" spans="1:6" s="195" customFormat="1">
      <c r="A84" s="195" t="s">
        <v>19</v>
      </c>
      <c r="B84" s="33">
        <f>B79</f>
        <v>28.13</v>
      </c>
      <c r="C84" s="32">
        <f t="shared" si="3"/>
        <v>35.92</v>
      </c>
      <c r="D84" s="195" t="s">
        <v>16</v>
      </c>
    </row>
    <row r="85" spans="1:6" s="195" customFormat="1">
      <c r="A85" s="195" t="s">
        <v>64</v>
      </c>
      <c r="B85" s="33">
        <v>100</v>
      </c>
      <c r="C85" s="32">
        <f t="shared" si="3"/>
        <v>127.71</v>
      </c>
      <c r="D85" s="195" t="s">
        <v>65</v>
      </c>
    </row>
    <row r="86" spans="1:6" s="195" customFormat="1" ht="15.75">
      <c r="A86" s="195" t="s">
        <v>5</v>
      </c>
      <c r="B86" s="33">
        <v>7.25</v>
      </c>
      <c r="C86" s="32">
        <f t="shared" si="3"/>
        <v>9.26</v>
      </c>
      <c r="F86" s="2" t="s">
        <v>145</v>
      </c>
    </row>
    <row r="87" spans="1:6" s="195" customFormat="1" ht="15.75">
      <c r="A87" s="195" t="s">
        <v>5</v>
      </c>
      <c r="B87" s="33">
        <v>0</v>
      </c>
      <c r="C87" s="32">
        <f t="shared" si="3"/>
        <v>0</v>
      </c>
      <c r="F87" s="2" t="s">
        <v>144</v>
      </c>
    </row>
    <row r="88" spans="1:6" s="195" customFormat="1">
      <c r="A88" s="195" t="s">
        <v>3</v>
      </c>
      <c r="B88" s="33">
        <v>126.95</v>
      </c>
      <c r="C88" s="32">
        <f t="shared" si="3"/>
        <v>162.13</v>
      </c>
    </row>
    <row r="89" spans="1:6" s="195" customFormat="1" ht="15" customHeight="1">
      <c r="A89" s="195" t="s">
        <v>4</v>
      </c>
      <c r="B89" s="33">
        <v>288.75</v>
      </c>
      <c r="C89" s="32">
        <f t="shared" si="3"/>
        <v>368.76</v>
      </c>
    </row>
    <row r="90" spans="1:6" s="195" customFormat="1" ht="15" customHeight="1">
      <c r="A90" s="195" t="s">
        <v>81</v>
      </c>
      <c r="B90" s="33">
        <f>18.92+2.86</f>
        <v>21.78</v>
      </c>
      <c r="C90" s="32">
        <f t="shared" si="3"/>
        <v>27.81</v>
      </c>
    </row>
    <row r="91" spans="1:6" s="195" customFormat="1" ht="15.75">
      <c r="A91" s="195" t="s">
        <v>76</v>
      </c>
      <c r="B91" s="33">
        <v>32.43</v>
      </c>
      <c r="C91" s="32">
        <f t="shared" si="3"/>
        <v>41.42</v>
      </c>
      <c r="D91" s="2" t="s">
        <v>145</v>
      </c>
    </row>
    <row r="92" spans="1:6" s="195" customFormat="1" ht="15.75">
      <c r="A92" s="195" t="s">
        <v>76</v>
      </c>
      <c r="B92" s="33">
        <f>B91+3.58</f>
        <v>36.01</v>
      </c>
      <c r="C92" s="32">
        <f t="shared" ref="C92" si="5">ROUND($B$22*B92,2)</f>
        <v>45.99</v>
      </c>
      <c r="D92" s="2" t="s">
        <v>144</v>
      </c>
    </row>
    <row r="93" spans="1:6" s="195" customFormat="1" ht="15.75">
      <c r="A93" s="195" t="s">
        <v>77</v>
      </c>
      <c r="B93" s="33">
        <v>15</v>
      </c>
      <c r="C93" s="32">
        <f t="shared" si="3"/>
        <v>19.16</v>
      </c>
      <c r="D93" s="2" t="s">
        <v>145</v>
      </c>
    </row>
    <row r="94" spans="1:6" s="195" customFormat="1" ht="15.75">
      <c r="A94" s="195" t="s">
        <v>77</v>
      </c>
      <c r="B94" s="33">
        <f>B93+2.86</f>
        <v>17.86</v>
      </c>
      <c r="C94" s="32">
        <f t="shared" ref="C94" si="6">ROUND($B$22*B94,2)</f>
        <v>22.81</v>
      </c>
      <c r="D94" s="2" t="s">
        <v>144</v>
      </c>
    </row>
    <row r="95" spans="1:6" s="195" customFormat="1" ht="15.75">
      <c r="A95" s="195" t="s">
        <v>79</v>
      </c>
      <c r="B95" s="33">
        <v>25.84</v>
      </c>
      <c r="C95" s="32">
        <f t="shared" si="3"/>
        <v>33</v>
      </c>
      <c r="D95" s="2" t="s">
        <v>145</v>
      </c>
    </row>
    <row r="96" spans="1:6" s="195" customFormat="1" ht="15.75">
      <c r="A96" s="195" t="s">
        <v>79</v>
      </c>
      <c r="B96" s="33">
        <f>B95+2.86</f>
        <v>28.7</v>
      </c>
      <c r="C96" s="32">
        <f t="shared" si="3"/>
        <v>36.65</v>
      </c>
      <c r="D96" s="2" t="s">
        <v>144</v>
      </c>
    </row>
    <row r="97" spans="1:5" s="195" customFormat="1">
      <c r="A97" s="195" t="s">
        <v>66</v>
      </c>
      <c r="B97" s="33">
        <v>5</v>
      </c>
      <c r="C97" s="32">
        <f t="shared" si="3"/>
        <v>6.39</v>
      </c>
    </row>
    <row r="98" spans="1:5" s="195" customFormat="1">
      <c r="B98" s="33"/>
      <c r="C98" s="32"/>
    </row>
    <row r="99" spans="1:5" s="195" customFormat="1">
      <c r="A99" s="195" t="s">
        <v>7</v>
      </c>
      <c r="B99" s="33">
        <v>10500</v>
      </c>
      <c r="C99" s="32">
        <f t="shared" si="3"/>
        <v>13409.43</v>
      </c>
    </row>
    <row r="100" spans="1:5" s="195" customFormat="1">
      <c r="A100" s="195" t="s">
        <v>55</v>
      </c>
      <c r="B100" s="33">
        <v>235</v>
      </c>
      <c r="C100" s="32">
        <f t="shared" si="3"/>
        <v>300.12</v>
      </c>
    </row>
    <row r="101" spans="1:5" s="195" customFormat="1">
      <c r="B101" s="33"/>
      <c r="C101" s="32"/>
    </row>
    <row r="102" spans="1:5" s="195" customFormat="1">
      <c r="A102" s="195" t="s">
        <v>86</v>
      </c>
      <c r="B102" s="33">
        <v>18600</v>
      </c>
      <c r="C102" s="32">
        <f t="shared" si="3"/>
        <v>23753.86</v>
      </c>
    </row>
    <row r="103" spans="1:5" s="195" customFormat="1">
      <c r="A103" s="195" t="s">
        <v>87</v>
      </c>
      <c r="B103" s="33">
        <v>10000</v>
      </c>
      <c r="C103" s="32">
        <f t="shared" si="3"/>
        <v>12770.89</v>
      </c>
    </row>
    <row r="104" spans="1:5" s="195" customFormat="1">
      <c r="B104" s="33"/>
      <c r="C104" s="32"/>
    </row>
    <row r="105" spans="1:5" s="195" customFormat="1">
      <c r="A105" s="195" t="s">
        <v>8</v>
      </c>
      <c r="B105" s="33">
        <v>6900</v>
      </c>
      <c r="C105" s="32">
        <f>ROUND($B$22*B105,2)</f>
        <v>8811.91</v>
      </c>
    </row>
    <row r="106" spans="1:5" ht="18" customHeight="1">
      <c r="B106" s="33"/>
      <c r="C106" s="32"/>
    </row>
    <row r="107" spans="1:5">
      <c r="B107" s="33"/>
      <c r="C107" s="32"/>
      <c r="E107" s="4"/>
    </row>
    <row r="108" spans="1:5">
      <c r="A108" t="s">
        <v>42</v>
      </c>
      <c r="B108" s="33">
        <v>194.47</v>
      </c>
      <c r="C108" s="32">
        <f>ROUND($B$22*B108,2)</f>
        <v>248.36</v>
      </c>
      <c r="E108" s="4"/>
    </row>
    <row r="109" spans="1:5">
      <c r="A109" t="s">
        <v>43</v>
      </c>
      <c r="B109" s="33">
        <v>185.4</v>
      </c>
      <c r="C109" s="32">
        <f>ROUND($B$22*B109,2)</f>
        <v>236.77</v>
      </c>
      <c r="E109" s="4"/>
    </row>
    <row r="110" spans="1:5">
      <c r="A110" t="s">
        <v>44</v>
      </c>
      <c r="B110" s="33">
        <v>156.54</v>
      </c>
      <c r="C110" s="32">
        <f>ROUND($B$22*B110,2)</f>
        <v>199.92</v>
      </c>
      <c r="E110" s="4"/>
    </row>
    <row r="111" spans="1:5">
      <c r="A111" t="s">
        <v>39</v>
      </c>
      <c r="B111" s="33">
        <v>6</v>
      </c>
      <c r="C111" s="32">
        <f>ROUND($B$22*B111,2)</f>
        <v>7.66</v>
      </c>
      <c r="E111" s="4"/>
    </row>
    <row r="112" spans="1:5" ht="15.75" thickBot="1">
      <c r="A112" t="s">
        <v>38</v>
      </c>
      <c r="B112" s="218">
        <v>3</v>
      </c>
      <c r="C112" s="219">
        <f>ROUND($B$22*B112,2)</f>
        <v>3.83</v>
      </c>
    </row>
    <row r="113" spans="1:4" ht="15.75">
      <c r="A113" s="210" t="s">
        <v>23</v>
      </c>
      <c r="B113" s="220"/>
      <c r="C113" s="221"/>
      <c r="D113" s="222"/>
    </row>
    <row r="114" spans="1:4" ht="15.75">
      <c r="A114" s="213" t="s">
        <v>24</v>
      </c>
      <c r="B114" s="22"/>
      <c r="C114" s="23"/>
      <c r="D114" s="214"/>
    </row>
    <row r="115" spans="1:4" ht="16.5" thickBot="1">
      <c r="A115" s="215" t="s">
        <v>25</v>
      </c>
      <c r="B115" s="223"/>
      <c r="C115" s="216"/>
      <c r="D115" s="217"/>
    </row>
  </sheetData>
  <phoneticPr fontId="0" type="noConversion"/>
  <pageMargins left="0.5" right="0.5" top="0.51200000000000001" bottom="0.5" header="0.5" footer="0.5"/>
  <pageSetup paperSize="9" scale="87" orientation="portrait" horizontalDpi="4294967292" r:id="rId1"/>
  <headerFooter alignWithMargins="0"/>
  <rowBreaks count="3" manualBreakCount="3">
    <brk id="19" max="16383" man="1"/>
    <brk id="54" max="6" man="1"/>
    <brk id="1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 enableFormatConditionsCalculation="0">
    <tabColor indexed="10"/>
    <pageSetUpPr fitToPage="1"/>
  </sheetPr>
  <dimension ref="A1:V45"/>
  <sheetViews>
    <sheetView zoomScaleNormal="100" workbookViewId="0">
      <selection sqref="A1:E1"/>
    </sheetView>
  </sheetViews>
  <sheetFormatPr defaultRowHeight="15"/>
  <cols>
    <col min="1" max="1" width="17.44140625" style="12" bestFit="1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16" customWidth="1"/>
    <col min="9" max="9" width="9.109375" style="29" customWidth="1"/>
    <col min="10" max="10" width="5.77734375" style="72" customWidth="1"/>
    <col min="11" max="11" width="6.44140625" style="72" bestFit="1" customWidth="1"/>
    <col min="12" max="12" width="5.77734375" style="75" customWidth="1"/>
    <col min="13" max="15" width="6.44140625" style="73" bestFit="1" customWidth="1"/>
    <col min="16" max="21" width="5.77734375" style="73" customWidth="1"/>
    <col min="22" max="22" width="6.44140625" style="73" bestFit="1" customWidth="1"/>
    <col min="23" max="16384" width="8.88671875" style="5"/>
  </cols>
  <sheetData>
    <row r="1" spans="1:21" ht="16.5" thickBot="1">
      <c r="A1" s="89" t="s">
        <v>28</v>
      </c>
      <c r="B1" s="90"/>
      <c r="C1" s="91"/>
      <c r="D1" s="91"/>
      <c r="E1" s="92"/>
      <c r="F1" s="308" t="s">
        <v>107</v>
      </c>
      <c r="G1" s="309"/>
      <c r="H1" s="131"/>
      <c r="I1" s="132"/>
    </row>
    <row r="2" spans="1:21" ht="16.5" thickBot="1">
      <c r="A2" s="185" t="str">
        <f>IF(B5+B9+B12+B15&gt;1,"Snyd! - du skal kun skrive i 1 af de 4 felter for anciennitet",".")</f>
        <v>.</v>
      </c>
      <c r="B2" s="93"/>
      <c r="C2" s="93"/>
      <c r="D2" s="93"/>
      <c r="E2" s="93"/>
      <c r="F2" s="310" t="str">
        <f>DATABANK!B20</f>
        <v>1.4.2013</v>
      </c>
      <c r="G2" s="310"/>
      <c r="H2" s="311" t="s">
        <v>119</v>
      </c>
      <c r="I2" s="132"/>
    </row>
    <row r="3" spans="1:21" ht="15.75" thickBot="1">
      <c r="A3" s="60" t="s">
        <v>32</v>
      </c>
      <c r="B3" s="183">
        <v>37</v>
      </c>
      <c r="C3" s="81"/>
      <c r="D3" s="82" t="s">
        <v>26</v>
      </c>
      <c r="E3" s="182">
        <f>B3/0.37</f>
        <v>100</v>
      </c>
      <c r="F3" s="112" t="s">
        <v>31</v>
      </c>
      <c r="G3" s="112" t="s">
        <v>30</v>
      </c>
      <c r="H3" s="312"/>
      <c r="I3" s="139"/>
    </row>
    <row r="4" spans="1:21" ht="15.75" thickBot="1">
      <c r="A4" s="60" t="s">
        <v>22</v>
      </c>
      <c r="B4" s="94">
        <v>27</v>
      </c>
      <c r="C4" s="84"/>
      <c r="D4" s="85">
        <f>DATABANK!B27</f>
        <v>298279</v>
      </c>
      <c r="E4" s="86" t="s">
        <v>52</v>
      </c>
      <c r="F4" s="107">
        <f>ROUND($E$3/100*D4,2)</f>
        <v>298279</v>
      </c>
      <c r="G4" s="107">
        <f>ROUND(F4/12,2)</f>
        <v>24856.58</v>
      </c>
      <c r="H4" s="153"/>
      <c r="I4" s="132"/>
      <c r="J4" s="76"/>
      <c r="K4" s="76"/>
      <c r="L4" s="76"/>
      <c r="M4" s="76"/>
      <c r="N4" s="76"/>
      <c r="O4" s="76"/>
    </row>
    <row r="5" spans="1:21" ht="15.75" thickBot="1">
      <c r="A5" s="127" t="s">
        <v>83</v>
      </c>
      <c r="B5" s="87"/>
      <c r="C5" s="113" t="s">
        <v>21</v>
      </c>
      <c r="D5" s="114"/>
      <c r="E5" s="115"/>
      <c r="F5" s="107"/>
      <c r="G5" s="107"/>
      <c r="H5" s="153"/>
      <c r="I5" s="132"/>
      <c r="J5" s="76"/>
      <c r="K5" s="76"/>
      <c r="L5" s="76"/>
      <c r="M5" s="76"/>
      <c r="N5" s="76"/>
      <c r="O5" s="76"/>
      <c r="P5" s="72"/>
      <c r="Q5" s="72"/>
      <c r="R5" s="72"/>
      <c r="S5" s="72"/>
      <c r="T5" s="72"/>
      <c r="U5" s="72"/>
    </row>
    <row r="6" spans="1:21">
      <c r="A6" s="128" t="s">
        <v>82</v>
      </c>
      <c r="B6" s="88"/>
      <c r="C6" s="88"/>
      <c r="D6" s="77">
        <f>DATABANK!C58</f>
        <v>2554.1799999999998</v>
      </c>
      <c r="E6" s="116" t="s">
        <v>52</v>
      </c>
      <c r="F6" s="107">
        <f>ROUND(B5*E$3/100*D6,2)</f>
        <v>0</v>
      </c>
      <c r="G6" s="107">
        <f t="shared" ref="G6:G23" si="0">ROUND(F6/12,2)</f>
        <v>0</v>
      </c>
      <c r="H6" s="153"/>
      <c r="I6" s="132"/>
      <c r="J6" s="76"/>
      <c r="K6" s="76"/>
      <c r="L6" s="76"/>
      <c r="M6" s="76"/>
      <c r="N6" s="76"/>
      <c r="O6" s="76"/>
      <c r="P6" s="72"/>
      <c r="Q6" s="72"/>
      <c r="R6" s="72"/>
      <c r="S6" s="72"/>
      <c r="T6" s="72"/>
      <c r="U6" s="72"/>
    </row>
    <row r="7" spans="1:21">
      <c r="A7" s="129" t="s">
        <v>90</v>
      </c>
      <c r="B7" s="79"/>
      <c r="C7" s="79"/>
      <c r="D7" s="78">
        <f>(DATABANK!B31-DATABANK!B27)</f>
        <v>17222</v>
      </c>
      <c r="E7" s="117" t="s">
        <v>52</v>
      </c>
      <c r="F7" s="108">
        <f>ROUND(B5*E$3/100*D7,2)</f>
        <v>0</v>
      </c>
      <c r="G7" s="108">
        <f t="shared" si="0"/>
        <v>0</v>
      </c>
      <c r="H7" s="153"/>
      <c r="I7" s="132"/>
      <c r="J7" s="76"/>
      <c r="K7" s="76"/>
      <c r="L7" s="76"/>
      <c r="M7" s="76"/>
      <c r="N7" s="76"/>
      <c r="O7" s="76"/>
      <c r="P7" s="72"/>
      <c r="Q7" s="72"/>
      <c r="R7" s="72"/>
      <c r="S7" s="72"/>
      <c r="T7" s="72"/>
      <c r="U7" s="72"/>
    </row>
    <row r="8" spans="1:21" ht="16.5" thickBot="1">
      <c r="A8" s="130" t="s">
        <v>91</v>
      </c>
      <c r="B8" s="118"/>
      <c r="C8" s="118"/>
      <c r="D8" s="119">
        <f>(DATABANK!B33-DATABANK!B31)</f>
        <v>9036</v>
      </c>
      <c r="E8" s="120" t="s">
        <v>52</v>
      </c>
      <c r="F8" s="108">
        <f>ROUND(B5*E$3/100*D8,2)</f>
        <v>0</v>
      </c>
      <c r="G8" s="108">
        <f t="shared" si="0"/>
        <v>0</v>
      </c>
      <c r="H8" s="153"/>
      <c r="I8" s="132"/>
      <c r="J8" s="76"/>
      <c r="K8" s="76"/>
      <c r="L8" s="76"/>
      <c r="M8" s="76"/>
      <c r="N8" s="76"/>
      <c r="O8" s="76"/>
    </row>
    <row r="9" spans="1:21" ht="15.75" thickBot="1">
      <c r="A9" s="127" t="s">
        <v>84</v>
      </c>
      <c r="B9" s="87"/>
      <c r="C9" s="113" t="s">
        <v>21</v>
      </c>
      <c r="D9" s="114">
        <f>(DATABANK!B30-DATABANK!B27)</f>
        <v>12808</v>
      </c>
      <c r="E9" s="115" t="s">
        <v>52</v>
      </c>
      <c r="F9" s="109">
        <f>ROUND(B9*E$3/100*D9,2)</f>
        <v>0</v>
      </c>
      <c r="G9" s="109">
        <f t="shared" si="0"/>
        <v>0</v>
      </c>
      <c r="H9" s="154"/>
      <c r="I9" s="132"/>
      <c r="J9" s="76"/>
      <c r="K9" s="76"/>
      <c r="L9" s="76"/>
      <c r="M9" s="76"/>
      <c r="N9" s="76"/>
      <c r="O9" s="76"/>
      <c r="P9" s="72"/>
      <c r="Q9" s="72"/>
      <c r="R9" s="72"/>
      <c r="S9" s="72"/>
      <c r="T9" s="72"/>
      <c r="U9" s="72"/>
    </row>
    <row r="10" spans="1:21">
      <c r="A10" s="128" t="s">
        <v>82</v>
      </c>
      <c r="B10" s="88"/>
      <c r="C10" s="88"/>
      <c r="D10" s="77">
        <f>DATABANK!C58</f>
        <v>2554.1799999999998</v>
      </c>
      <c r="E10" s="116" t="s">
        <v>52</v>
      </c>
      <c r="F10" s="107">
        <f>ROUND(B9*E$3/100*D10,2)</f>
        <v>0</v>
      </c>
      <c r="G10" s="107">
        <f t="shared" si="0"/>
        <v>0</v>
      </c>
      <c r="H10" s="153"/>
      <c r="I10" s="132"/>
      <c r="J10" s="76"/>
      <c r="K10" s="76"/>
      <c r="L10" s="76"/>
      <c r="M10" s="76"/>
      <c r="N10" s="76"/>
      <c r="O10" s="76"/>
      <c r="P10" s="72"/>
      <c r="Q10" s="72"/>
      <c r="R10" s="72"/>
      <c r="S10" s="72"/>
      <c r="T10" s="72"/>
      <c r="U10" s="72"/>
    </row>
    <row r="11" spans="1:21" ht="15.75" thickBot="1">
      <c r="A11" s="130" t="s">
        <v>90</v>
      </c>
      <c r="B11" s="121"/>
      <c r="C11" s="121"/>
      <c r="D11" s="119">
        <f>(DATABANK!B34-DATABANK!B30)</f>
        <v>18083</v>
      </c>
      <c r="E11" s="120" t="s">
        <v>52</v>
      </c>
      <c r="F11" s="108">
        <f>ROUND(B9*E$3/100*D11,2)</f>
        <v>0</v>
      </c>
      <c r="G11" s="108">
        <f t="shared" si="0"/>
        <v>0</v>
      </c>
      <c r="H11" s="153"/>
      <c r="I11" s="132"/>
      <c r="J11" s="76"/>
      <c r="K11" s="76"/>
      <c r="L11" s="76"/>
      <c r="M11" s="76"/>
      <c r="N11" s="76"/>
      <c r="O11" s="76"/>
      <c r="P11" s="72"/>
      <c r="Q11" s="72"/>
      <c r="R11" s="72"/>
      <c r="S11" s="72"/>
      <c r="T11" s="72"/>
      <c r="U11" s="72"/>
    </row>
    <row r="12" spans="1:21" ht="15.75" thickBot="1">
      <c r="A12" s="127" t="s">
        <v>85</v>
      </c>
      <c r="B12" s="87"/>
      <c r="C12" s="113" t="s">
        <v>21</v>
      </c>
      <c r="D12" s="114">
        <f>(DATABANK!B$32-DATABANK!B$27)</f>
        <v>21705</v>
      </c>
      <c r="E12" s="115" t="s">
        <v>52</v>
      </c>
      <c r="F12" s="109">
        <f>ROUND(B12*E$3/100*D12,2)</f>
        <v>0</v>
      </c>
      <c r="G12" s="109">
        <f t="shared" si="0"/>
        <v>0</v>
      </c>
      <c r="H12" s="154"/>
      <c r="I12" s="132"/>
      <c r="J12" s="76"/>
      <c r="K12" s="76"/>
      <c r="L12" s="76"/>
      <c r="M12" s="76"/>
      <c r="N12" s="76"/>
      <c r="O12" s="76"/>
      <c r="P12" s="72"/>
      <c r="Q12" s="72"/>
      <c r="R12" s="72"/>
      <c r="S12" s="72"/>
      <c r="T12" s="72"/>
      <c r="U12" s="72"/>
    </row>
    <row r="13" spans="1:21">
      <c r="A13" s="128" t="s">
        <v>82</v>
      </c>
      <c r="B13" s="88"/>
      <c r="C13" s="88"/>
      <c r="D13" s="77">
        <v>0</v>
      </c>
      <c r="E13" s="116" t="s">
        <v>52</v>
      </c>
      <c r="F13" s="107">
        <f>ROUND(B12*E$3/100*D13,2)</f>
        <v>0</v>
      </c>
      <c r="G13" s="107">
        <f t="shared" si="0"/>
        <v>0</v>
      </c>
      <c r="H13" s="153"/>
      <c r="I13" s="132"/>
      <c r="J13" s="76"/>
      <c r="K13" s="76"/>
      <c r="L13" s="76"/>
      <c r="M13" s="76"/>
      <c r="N13" s="76"/>
      <c r="O13" s="76"/>
      <c r="P13" s="72"/>
      <c r="Q13" s="72"/>
      <c r="R13" s="72"/>
      <c r="S13" s="72"/>
      <c r="T13" s="72"/>
      <c r="U13" s="72"/>
    </row>
    <row r="14" spans="1:21" ht="15.75" thickBot="1">
      <c r="A14" s="130" t="s">
        <v>90</v>
      </c>
      <c r="B14" s="121"/>
      <c r="C14" s="121"/>
      <c r="D14" s="119">
        <f>(DATABANK!B36-DATABANK!B32)</f>
        <v>18662</v>
      </c>
      <c r="E14" s="120" t="s">
        <v>52</v>
      </c>
      <c r="F14" s="108">
        <f>ROUND(B12*E$3/100*D14,2)</f>
        <v>0</v>
      </c>
      <c r="G14" s="108">
        <f t="shared" si="0"/>
        <v>0</v>
      </c>
      <c r="H14" s="153"/>
      <c r="I14" s="132"/>
      <c r="J14" s="76"/>
      <c r="K14" s="76"/>
      <c r="L14" s="76"/>
      <c r="M14" s="76"/>
      <c r="N14" s="76"/>
      <c r="O14" s="76"/>
    </row>
    <row r="15" spans="1:21" ht="15.75" thickBot="1">
      <c r="A15" s="127" t="s">
        <v>89</v>
      </c>
      <c r="B15" s="87"/>
      <c r="C15" s="113" t="s">
        <v>21</v>
      </c>
      <c r="D15" s="114">
        <f>D12</f>
        <v>21705</v>
      </c>
      <c r="E15" s="115" t="s">
        <v>52</v>
      </c>
      <c r="F15" s="109">
        <f>ROUND(B15*E$3/100*D15,2)</f>
        <v>0</v>
      </c>
      <c r="G15" s="109">
        <f t="shared" si="0"/>
        <v>0</v>
      </c>
      <c r="H15" s="154"/>
      <c r="I15" s="132"/>
      <c r="J15" s="76"/>
      <c r="K15" s="76"/>
      <c r="L15" s="76"/>
      <c r="M15" s="76"/>
      <c r="N15" s="76"/>
      <c r="O15" s="76"/>
      <c r="P15" s="72"/>
      <c r="Q15" s="72"/>
      <c r="R15" s="72"/>
      <c r="S15" s="72"/>
      <c r="T15" s="72"/>
      <c r="U15" s="72"/>
    </row>
    <row r="16" spans="1:21">
      <c r="A16" s="128" t="s">
        <v>82</v>
      </c>
      <c r="B16" s="88"/>
      <c r="C16" s="88"/>
      <c r="D16" s="77">
        <f>DATABANK!C59</f>
        <v>8939.6200000000008</v>
      </c>
      <c r="E16" s="116" t="s">
        <v>52</v>
      </c>
      <c r="F16" s="107">
        <f>ROUND(B15*E$3/100*D16,2)</f>
        <v>0</v>
      </c>
      <c r="G16" s="107">
        <f t="shared" si="0"/>
        <v>0</v>
      </c>
      <c r="H16" s="153"/>
      <c r="I16" s="132"/>
      <c r="J16" s="76"/>
      <c r="K16" s="76"/>
      <c r="L16" s="76"/>
      <c r="M16" s="76"/>
      <c r="N16" s="76"/>
      <c r="O16" s="76"/>
    </row>
    <row r="17" spans="1:15" ht="15.75" thickBot="1">
      <c r="A17" s="130" t="s">
        <v>90</v>
      </c>
      <c r="B17" s="121"/>
      <c r="C17" s="121"/>
      <c r="D17" s="119">
        <f>D14</f>
        <v>18662</v>
      </c>
      <c r="E17" s="120" t="s">
        <v>52</v>
      </c>
      <c r="F17" s="108">
        <f>ROUND(B15*E$3/100*D17,2)</f>
        <v>0</v>
      </c>
      <c r="G17" s="108">
        <f t="shared" si="0"/>
        <v>0</v>
      </c>
      <c r="H17" s="153"/>
      <c r="I17" s="132"/>
      <c r="J17" s="76"/>
      <c r="K17" s="76"/>
      <c r="L17" s="76"/>
      <c r="M17" s="76"/>
      <c r="N17" s="76"/>
      <c r="O17" s="76"/>
    </row>
    <row r="18" spans="1:15" ht="15.75" thickBot="1">
      <c r="A18" s="95" t="s">
        <v>105</v>
      </c>
      <c r="B18" s="96"/>
      <c r="C18" s="97"/>
      <c r="D18" s="98">
        <f>DATABANK!C65</f>
        <v>5926.97</v>
      </c>
      <c r="E18" s="80" t="s">
        <v>53</v>
      </c>
      <c r="F18" s="110">
        <f>D18</f>
        <v>5926.97</v>
      </c>
      <c r="G18" s="110">
        <f t="shared" si="0"/>
        <v>493.91</v>
      </c>
      <c r="H18" s="154"/>
      <c r="I18" s="132"/>
      <c r="J18" s="76"/>
      <c r="K18" s="76"/>
      <c r="L18" s="76"/>
      <c r="M18" s="76"/>
      <c r="N18" s="76"/>
      <c r="O18" s="76"/>
    </row>
    <row r="19" spans="1:15" ht="15.75" thickBot="1">
      <c r="A19" s="95" t="s">
        <v>140</v>
      </c>
      <c r="B19" s="137"/>
      <c r="C19" s="79" t="s">
        <v>21</v>
      </c>
      <c r="D19" s="98">
        <f>DATABANK!C67</f>
        <v>9195.0400000000009</v>
      </c>
      <c r="E19" s="80" t="s">
        <v>53</v>
      </c>
      <c r="F19" s="110">
        <f>D19*B19</f>
        <v>0</v>
      </c>
      <c r="G19" s="110">
        <f t="shared" si="0"/>
        <v>0</v>
      </c>
      <c r="H19" s="154"/>
      <c r="I19" s="132"/>
      <c r="J19" s="76"/>
      <c r="K19" s="76"/>
      <c r="L19" s="76"/>
      <c r="M19" s="76"/>
      <c r="N19" s="76"/>
      <c r="O19" s="76"/>
    </row>
    <row r="20" spans="1:15" ht="15.75" thickBot="1">
      <c r="A20" s="95" t="s">
        <v>139</v>
      </c>
      <c r="B20" s="138"/>
      <c r="C20" s="79" t="s">
        <v>21</v>
      </c>
      <c r="D20" s="98">
        <f>DATABANK!C68</f>
        <v>5250.57</v>
      </c>
      <c r="E20" s="80" t="s">
        <v>53</v>
      </c>
      <c r="F20" s="110">
        <f>D20*B20</f>
        <v>0</v>
      </c>
      <c r="G20" s="110">
        <f t="shared" si="0"/>
        <v>0</v>
      </c>
      <c r="H20" s="154"/>
      <c r="I20" s="132"/>
      <c r="J20" s="76"/>
      <c r="K20" s="76"/>
      <c r="L20" s="76"/>
      <c r="M20" s="76"/>
      <c r="N20" s="76"/>
      <c r="O20" s="76"/>
    </row>
    <row r="21" spans="1:15" ht="15.75" thickBot="1">
      <c r="A21" s="95" t="s">
        <v>100</v>
      </c>
      <c r="B21" s="138"/>
      <c r="C21" s="79" t="s">
        <v>21</v>
      </c>
      <c r="D21" s="98">
        <f>DATABANK!C69</f>
        <v>33715.15</v>
      </c>
      <c r="E21" s="80" t="s">
        <v>52</v>
      </c>
      <c r="F21" s="110">
        <f>D21*B21</f>
        <v>0</v>
      </c>
      <c r="G21" s="110">
        <f t="shared" si="0"/>
        <v>0</v>
      </c>
      <c r="H21" s="154"/>
      <c r="I21" s="132"/>
      <c r="J21" s="76"/>
      <c r="K21" s="76"/>
      <c r="L21" s="76"/>
      <c r="M21" s="76"/>
      <c r="N21" s="76"/>
      <c r="O21" s="76"/>
    </row>
    <row r="22" spans="1:15" ht="15.75" thickBot="1">
      <c r="A22" s="95" t="s">
        <v>101</v>
      </c>
      <c r="B22" s="99"/>
      <c r="C22" s="97" t="s">
        <v>20</v>
      </c>
      <c r="D22" s="98">
        <f>DATABANK!C70</f>
        <v>54.91</v>
      </c>
      <c r="E22" s="100" t="s">
        <v>27</v>
      </c>
      <c r="F22" s="110">
        <f>B22*D22</f>
        <v>0</v>
      </c>
      <c r="G22" s="110">
        <f t="shared" si="0"/>
        <v>0</v>
      </c>
      <c r="H22" s="154"/>
      <c r="I22" s="132"/>
      <c r="J22" s="76"/>
      <c r="K22" s="76"/>
      <c r="L22" s="76"/>
      <c r="M22" s="76"/>
      <c r="N22" s="76"/>
      <c r="O22" s="76"/>
    </row>
    <row r="23" spans="1:15" ht="15.75" thickBot="1">
      <c r="A23" s="95" t="s">
        <v>103</v>
      </c>
      <c r="B23" s="99"/>
      <c r="C23" s="97" t="s">
        <v>20</v>
      </c>
      <c r="D23" s="98">
        <f>DATABANK!C72</f>
        <v>34.799999999999997</v>
      </c>
      <c r="E23" s="100" t="s">
        <v>27</v>
      </c>
      <c r="F23" s="110">
        <f>B23*D23</f>
        <v>0</v>
      </c>
      <c r="G23" s="110">
        <f t="shared" si="0"/>
        <v>0</v>
      </c>
      <c r="H23" s="154"/>
      <c r="I23" s="132"/>
      <c r="J23" s="76"/>
      <c r="K23" s="76"/>
      <c r="L23" s="76"/>
      <c r="M23" s="76"/>
      <c r="N23" s="76"/>
      <c r="O23" s="76"/>
    </row>
    <row r="24" spans="1:15" ht="15.75" thickBot="1">
      <c r="A24" s="95" t="s">
        <v>141</v>
      </c>
      <c r="B24" s="99"/>
      <c r="C24" s="79" t="s">
        <v>21</v>
      </c>
      <c r="D24" s="98">
        <f>DATABANK!C$59</f>
        <v>8939.6200000000008</v>
      </c>
      <c r="E24" s="80" t="s">
        <v>53</v>
      </c>
      <c r="F24" s="110">
        <f>B24*D24</f>
        <v>0</v>
      </c>
      <c r="G24" s="110">
        <f>ROUND(F24/12,2)</f>
        <v>0</v>
      </c>
      <c r="H24" s="154"/>
      <c r="I24" s="132"/>
      <c r="J24" s="76"/>
      <c r="K24" s="76"/>
      <c r="L24" s="76"/>
      <c r="M24" s="76"/>
      <c r="N24" s="76"/>
      <c r="O24" s="76"/>
    </row>
    <row r="25" spans="1:15" ht="15.75" thickBot="1">
      <c r="A25" s="60" t="s">
        <v>10</v>
      </c>
      <c r="B25" s="101"/>
      <c r="C25" s="84" t="s">
        <v>20</v>
      </c>
      <c r="D25" s="102"/>
      <c r="E25" s="86"/>
      <c r="F25" s="111"/>
      <c r="G25" s="111"/>
      <c r="H25" s="154"/>
      <c r="I25" s="132"/>
      <c r="J25" s="164">
        <f>ROUNDDOWN(B25,0)</f>
        <v>0</v>
      </c>
      <c r="K25" s="165">
        <f>J25+(B25-J25)/60*100</f>
        <v>0</v>
      </c>
    </row>
    <row r="26" spans="1:15">
      <c r="A26" s="60" t="s">
        <v>59</v>
      </c>
      <c r="B26" s="103">
        <f>ROUND(MIN($E3/100*299,K25),2)</f>
        <v>0</v>
      </c>
      <c r="C26" s="84" t="s">
        <v>20</v>
      </c>
      <c r="D26" s="85">
        <v>0</v>
      </c>
      <c r="E26" s="83" t="s">
        <v>27</v>
      </c>
      <c r="F26" s="109">
        <v>0</v>
      </c>
      <c r="G26" s="109">
        <f t="shared" ref="G26:G36" si="1">ROUND(F26/12,2)</f>
        <v>0</v>
      </c>
      <c r="H26" s="154"/>
      <c r="I26" s="132"/>
    </row>
    <row r="27" spans="1:15">
      <c r="A27" s="60" t="s">
        <v>60</v>
      </c>
      <c r="B27" s="103">
        <f>ROUNDUP(MAX(MIN(2*($K25-B26-B28),2*$E3/100*451),0),0)/2</f>
        <v>0</v>
      </c>
      <c r="C27" s="84" t="s">
        <v>20</v>
      </c>
      <c r="D27" s="85">
        <f>DATABANK!C77</f>
        <v>39.869999999999997</v>
      </c>
      <c r="E27" s="83" t="s">
        <v>27</v>
      </c>
      <c r="F27" s="109">
        <f>ROUND(B27*D27,2)</f>
        <v>0</v>
      </c>
      <c r="G27" s="109">
        <f t="shared" si="1"/>
        <v>0</v>
      </c>
      <c r="H27" s="155"/>
      <c r="I27" s="132"/>
    </row>
    <row r="28" spans="1:15">
      <c r="A28" s="60" t="s">
        <v>61</v>
      </c>
      <c r="B28" s="103">
        <f>ROUNDUP(2*MAX($K25-$E3/100*750,0),0)/2</f>
        <v>0</v>
      </c>
      <c r="C28" s="84" t="s">
        <v>20</v>
      </c>
      <c r="D28" s="85">
        <f>DATABANK!C79</f>
        <v>35.92</v>
      </c>
      <c r="E28" s="83" t="s">
        <v>27</v>
      </c>
      <c r="F28" s="109">
        <f>ROUND(B28*D28,2)</f>
        <v>0</v>
      </c>
      <c r="G28" s="109">
        <f t="shared" si="1"/>
        <v>0</v>
      </c>
      <c r="H28" s="154"/>
      <c r="I28" s="132"/>
    </row>
    <row r="29" spans="1:15">
      <c r="A29" s="60" t="s">
        <v>62</v>
      </c>
      <c r="B29" s="103">
        <f>ROUNDUP(2*MAX($K25-$E3/100*836,0),0)/2</f>
        <v>0</v>
      </c>
      <c r="C29" s="84"/>
      <c r="D29" s="85">
        <f>DATABANK!C78</f>
        <v>107.34</v>
      </c>
      <c r="E29" s="83" t="s">
        <v>27</v>
      </c>
      <c r="F29" s="109">
        <f>ROUND(B29*D29,2)</f>
        <v>0</v>
      </c>
      <c r="G29" s="109">
        <f t="shared" si="1"/>
        <v>0</v>
      </c>
      <c r="H29" s="154"/>
      <c r="I29" s="132"/>
    </row>
    <row r="30" spans="1:15" ht="15.75" thickBot="1">
      <c r="A30" s="60" t="s">
        <v>99</v>
      </c>
      <c r="B30" s="103"/>
      <c r="C30" s="84" t="s">
        <v>20</v>
      </c>
      <c r="D30" s="85">
        <f>DATABANK!C87</f>
        <v>0</v>
      </c>
      <c r="E30" s="83" t="s">
        <v>27</v>
      </c>
      <c r="F30" s="109">
        <v>0</v>
      </c>
      <c r="G30" s="109">
        <f t="shared" si="1"/>
        <v>0</v>
      </c>
      <c r="H30" s="154"/>
      <c r="I30" s="132"/>
    </row>
    <row r="31" spans="1:15" ht="15.75" thickBot="1">
      <c r="A31" s="81" t="s">
        <v>75</v>
      </c>
      <c r="B31" s="104"/>
      <c r="C31" s="84" t="s">
        <v>20</v>
      </c>
      <c r="D31" s="85">
        <f>DATABANK!C92</f>
        <v>45.99</v>
      </c>
      <c r="E31" s="83" t="s">
        <v>27</v>
      </c>
      <c r="F31" s="109">
        <f t="shared" ref="F31:F35" si="2">ROUND(B31*D31,2)</f>
        <v>0</v>
      </c>
      <c r="G31" s="109">
        <f t="shared" si="1"/>
        <v>0</v>
      </c>
      <c r="H31" s="154"/>
      <c r="I31" s="132"/>
    </row>
    <row r="32" spans="1:15" ht="15.75" thickBot="1">
      <c r="A32" s="81" t="s">
        <v>106</v>
      </c>
      <c r="B32" s="104"/>
      <c r="C32" s="84" t="s">
        <v>20</v>
      </c>
      <c r="D32" s="85">
        <f>DATABANK!C90</f>
        <v>27.81</v>
      </c>
      <c r="E32" s="83" t="s">
        <v>27</v>
      </c>
      <c r="F32" s="109">
        <f t="shared" si="2"/>
        <v>0</v>
      </c>
      <c r="G32" s="109">
        <f t="shared" si="1"/>
        <v>0</v>
      </c>
      <c r="H32" s="154"/>
      <c r="I32" s="132"/>
    </row>
    <row r="33" spans="1:11" ht="15.75" thickBot="1">
      <c r="A33" s="81" t="s">
        <v>78</v>
      </c>
      <c r="B33" s="104"/>
      <c r="C33" s="84" t="s">
        <v>20</v>
      </c>
      <c r="D33" s="85">
        <f>DATABANK!C94</f>
        <v>22.81</v>
      </c>
      <c r="E33" s="83" t="s">
        <v>27</v>
      </c>
      <c r="F33" s="109">
        <f t="shared" si="2"/>
        <v>0</v>
      </c>
      <c r="G33" s="109">
        <f t="shared" si="1"/>
        <v>0</v>
      </c>
      <c r="H33" s="154"/>
      <c r="I33" s="132"/>
    </row>
    <row r="34" spans="1:11" ht="15.75" thickBot="1">
      <c r="A34" s="81" t="s">
        <v>80</v>
      </c>
      <c r="B34" s="104"/>
      <c r="C34" s="84" t="s">
        <v>20</v>
      </c>
      <c r="D34" s="85">
        <f>DATABANK!C96</f>
        <v>36.65</v>
      </c>
      <c r="E34" s="83" t="s">
        <v>27</v>
      </c>
      <c r="F34" s="109">
        <f t="shared" si="2"/>
        <v>0</v>
      </c>
      <c r="G34" s="109">
        <f t="shared" si="1"/>
        <v>0</v>
      </c>
      <c r="H34" s="154"/>
      <c r="I34" s="132"/>
    </row>
    <row r="35" spans="1:11" ht="15.75" thickBot="1">
      <c r="A35" s="60" t="s">
        <v>102</v>
      </c>
      <c r="B35" s="105"/>
      <c r="C35" s="88" t="s">
        <v>21</v>
      </c>
      <c r="D35" s="85">
        <f>DATABANK!C$103</f>
        <v>12770.89</v>
      </c>
      <c r="E35" s="83" t="s">
        <v>88</v>
      </c>
      <c r="F35" s="109">
        <f t="shared" si="2"/>
        <v>0</v>
      </c>
      <c r="G35" s="109">
        <f t="shared" si="1"/>
        <v>0</v>
      </c>
      <c r="H35" s="154"/>
      <c r="I35" s="132"/>
    </row>
    <row r="36" spans="1:11" ht="16.5" thickBot="1">
      <c r="A36" s="122" t="s">
        <v>6</v>
      </c>
      <c r="B36" s="123"/>
      <c r="C36" s="124"/>
      <c r="D36" s="125"/>
      <c r="E36" s="126"/>
      <c r="F36" s="106">
        <f>SUM(F4:F35)</f>
        <v>304205.96999999997</v>
      </c>
      <c r="G36" s="106">
        <f t="shared" si="1"/>
        <v>25350.5</v>
      </c>
      <c r="H36" s="156">
        <f>SUM(H4:H35)</f>
        <v>0</v>
      </c>
      <c r="I36" s="132"/>
      <c r="K36" s="74"/>
    </row>
    <row r="37" spans="1:11" ht="16.5" thickBot="1">
      <c r="A37" s="122" t="s">
        <v>120</v>
      </c>
      <c r="B37" s="142"/>
      <c r="C37" s="143"/>
      <c r="D37" s="144"/>
      <c r="E37" s="145"/>
      <c r="F37" s="149"/>
      <c r="G37" s="150">
        <f>H36-G36</f>
        <v>-25350.5</v>
      </c>
      <c r="H37" s="177"/>
      <c r="I37" s="132"/>
      <c r="K37" s="178"/>
    </row>
    <row r="38" spans="1:11">
      <c r="A38" s="152" t="s">
        <v>121</v>
      </c>
      <c r="B38" s="54"/>
      <c r="C38" s="47"/>
      <c r="D38" s="48"/>
      <c r="E38" s="49"/>
    </row>
    <row r="39" spans="1:11">
      <c r="A39" s="313"/>
      <c r="B39" s="314"/>
      <c r="C39" s="314"/>
      <c r="D39" s="314"/>
      <c r="E39" s="314"/>
      <c r="F39" s="314"/>
      <c r="G39" s="314"/>
      <c r="H39" s="315"/>
    </row>
    <row r="40" spans="1:11">
      <c r="A40" s="316"/>
      <c r="B40" s="317"/>
      <c r="C40" s="317"/>
      <c r="D40" s="317"/>
      <c r="E40" s="317"/>
      <c r="F40" s="317"/>
      <c r="G40" s="317"/>
      <c r="H40" s="318"/>
    </row>
    <row r="41" spans="1:11">
      <c r="A41" s="316"/>
      <c r="B41" s="317"/>
      <c r="C41" s="317"/>
      <c r="D41" s="317"/>
      <c r="E41" s="317"/>
      <c r="F41" s="317"/>
      <c r="G41" s="317"/>
      <c r="H41" s="318"/>
    </row>
    <row r="42" spans="1:11">
      <c r="A42" s="316"/>
      <c r="B42" s="317"/>
      <c r="C42" s="317"/>
      <c r="D42" s="317"/>
      <c r="E42" s="317"/>
      <c r="F42" s="317"/>
      <c r="G42" s="317"/>
      <c r="H42" s="318"/>
    </row>
    <row r="43" spans="1:11">
      <c r="A43" s="316"/>
      <c r="B43" s="317"/>
      <c r="C43" s="317"/>
      <c r="D43" s="317"/>
      <c r="E43" s="317"/>
      <c r="F43" s="317"/>
      <c r="G43" s="317"/>
      <c r="H43" s="318"/>
    </row>
    <row r="44" spans="1:11">
      <c r="A44" s="319"/>
      <c r="B44" s="320"/>
      <c r="C44" s="320"/>
      <c r="D44" s="320"/>
      <c r="E44" s="320"/>
      <c r="F44" s="320"/>
      <c r="G44" s="320"/>
      <c r="H44" s="321"/>
    </row>
    <row r="45" spans="1:11">
      <c r="A45" s="60" t="s">
        <v>132</v>
      </c>
      <c r="B45" s="151"/>
    </row>
  </sheetData>
  <mergeCells count="4">
    <mergeCell ref="F1:G1"/>
    <mergeCell ref="F2:G2"/>
    <mergeCell ref="H2:H3"/>
    <mergeCell ref="A39:H44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r:id="rId1"/>
  <headerFooter alignWithMargins="0"/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 enableFormatConditionsCalculation="0">
    <tabColor indexed="10"/>
    <pageSetUpPr fitToPage="1"/>
  </sheetPr>
  <dimension ref="A1:U33"/>
  <sheetViews>
    <sheetView zoomScaleNormal="100" workbookViewId="0">
      <selection sqref="A1:E1"/>
    </sheetView>
  </sheetViews>
  <sheetFormatPr defaultRowHeight="15"/>
  <cols>
    <col min="1" max="1" width="17.44140625" style="12" bestFit="1" customWidth="1"/>
    <col min="2" max="2" width="6.88671875" style="6" customWidth="1"/>
    <col min="3" max="3" width="6" style="13" bestFit="1" customWidth="1"/>
    <col min="4" max="4" width="9.109375" style="15" bestFit="1" customWidth="1"/>
    <col min="5" max="5" width="13.88671875" style="14" customWidth="1"/>
    <col min="6" max="7" width="10.77734375" style="16" customWidth="1"/>
    <col min="8" max="8" width="8" style="29" customWidth="1"/>
    <col min="9" max="9" width="8.6640625" style="72" customWidth="1"/>
    <col min="10" max="10" width="6.44140625" style="72" bestFit="1" customWidth="1"/>
    <col min="11" max="11" width="5.77734375" style="75" customWidth="1"/>
    <col min="12" max="14" width="6.44140625" style="73" bestFit="1" customWidth="1"/>
    <col min="15" max="20" width="5.77734375" style="73" customWidth="1"/>
    <col min="21" max="21" width="6.44140625" style="73" bestFit="1" customWidth="1"/>
    <col min="22" max="16384" width="8.88671875" style="5"/>
  </cols>
  <sheetData>
    <row r="1" spans="1:20" ht="16.5" thickBot="1">
      <c r="A1" s="89" t="s">
        <v>28</v>
      </c>
      <c r="B1" s="90"/>
      <c r="C1" s="91"/>
      <c r="D1" s="91"/>
      <c r="E1" s="92"/>
      <c r="F1" s="308" t="s">
        <v>104</v>
      </c>
      <c r="G1" s="309"/>
    </row>
    <row r="2" spans="1:20" ht="15.75" customHeight="1" thickBot="1">
      <c r="A2" s="60"/>
      <c r="B2" s="93"/>
      <c r="C2" s="93"/>
      <c r="D2" s="93"/>
      <c r="E2" s="93"/>
      <c r="F2" s="310" t="str">
        <f>DATABANK!B20</f>
        <v>1.4.2013</v>
      </c>
      <c r="G2" s="310"/>
      <c r="H2" s="311" t="s">
        <v>119</v>
      </c>
      <c r="I2" s="322" t="s">
        <v>130</v>
      </c>
    </row>
    <row r="3" spans="1:20" ht="15.75" customHeight="1" thickBot="1">
      <c r="A3" s="60" t="s">
        <v>32</v>
      </c>
      <c r="B3" s="183">
        <v>37</v>
      </c>
      <c r="C3" s="81"/>
      <c r="D3" s="82" t="s">
        <v>26</v>
      </c>
      <c r="E3" s="182">
        <f>B3/0.37</f>
        <v>100</v>
      </c>
      <c r="F3" s="112" t="s">
        <v>31</v>
      </c>
      <c r="G3" s="112" t="s">
        <v>30</v>
      </c>
      <c r="H3" s="312"/>
      <c r="I3" s="323"/>
    </row>
    <row r="4" spans="1:20">
      <c r="A4" s="60" t="s">
        <v>22</v>
      </c>
      <c r="B4" s="94">
        <v>35</v>
      </c>
      <c r="C4" s="84"/>
      <c r="D4" s="85">
        <f>DATABANK!B35</f>
        <v>333870</v>
      </c>
      <c r="E4" s="86" t="s">
        <v>52</v>
      </c>
      <c r="F4" s="107">
        <f>ROUND($E$3/100*D4,2)</f>
        <v>333870</v>
      </c>
      <c r="G4" s="107">
        <f>ROUND(F4/12,2)</f>
        <v>27822.5</v>
      </c>
      <c r="H4" s="153"/>
      <c r="I4" s="173"/>
      <c r="J4" s="76"/>
      <c r="K4" s="76"/>
      <c r="L4" s="76"/>
      <c r="M4" s="76"/>
      <c r="N4" s="76"/>
    </row>
    <row r="5" spans="1:20">
      <c r="A5" s="95" t="s">
        <v>90</v>
      </c>
      <c r="B5" s="79"/>
      <c r="C5" s="79"/>
      <c r="D5" s="78">
        <f>(DATABANK!B39-DATABANK!B35)</f>
        <v>19968</v>
      </c>
      <c r="E5" s="117" t="s">
        <v>52</v>
      </c>
      <c r="F5" s="108">
        <f>ROUND(E$3/100*D5,2)</f>
        <v>19968</v>
      </c>
      <c r="G5" s="108">
        <f t="shared" ref="G5:G24" si="0">ROUND(F5/12,2)</f>
        <v>1664</v>
      </c>
      <c r="H5" s="153"/>
      <c r="I5" s="170"/>
      <c r="J5" s="76"/>
      <c r="K5" s="76"/>
      <c r="L5" s="76"/>
      <c r="M5" s="76"/>
      <c r="N5" s="76"/>
      <c r="O5" s="72"/>
      <c r="P5" s="72"/>
      <c r="Q5" s="72"/>
      <c r="R5" s="72"/>
      <c r="S5" s="72"/>
      <c r="T5" s="72"/>
    </row>
    <row r="6" spans="1:20" ht="15.75" thickBot="1">
      <c r="A6" s="95" t="s">
        <v>105</v>
      </c>
      <c r="B6" s="96"/>
      <c r="C6" s="97"/>
      <c r="D6" s="98">
        <f>DATABANK!C65</f>
        <v>5926.97</v>
      </c>
      <c r="E6" s="80" t="s">
        <v>53</v>
      </c>
      <c r="F6" s="110">
        <f>D6</f>
        <v>5926.97</v>
      </c>
      <c r="G6" s="110">
        <f t="shared" si="0"/>
        <v>493.91</v>
      </c>
      <c r="H6" s="153"/>
      <c r="I6" s="170">
        <f t="shared" ref="I6:I12" si="1">0.173*F6</f>
        <v>1025.36581</v>
      </c>
      <c r="J6" s="76"/>
      <c r="K6" s="76"/>
      <c r="L6" s="76"/>
      <c r="M6" s="76"/>
      <c r="N6" s="76"/>
    </row>
    <row r="7" spans="1:20" ht="15.75" thickBot="1">
      <c r="A7" s="95" t="s">
        <v>140</v>
      </c>
      <c r="B7" s="137"/>
      <c r="C7" s="79" t="s">
        <v>21</v>
      </c>
      <c r="D7" s="98">
        <f>DATABANK!C67</f>
        <v>9195.0400000000009</v>
      </c>
      <c r="E7" s="80" t="s">
        <v>53</v>
      </c>
      <c r="F7" s="110">
        <f>D7*B7</f>
        <v>0</v>
      </c>
      <c r="G7" s="110">
        <f t="shared" si="0"/>
        <v>0</v>
      </c>
      <c r="H7" s="153"/>
      <c r="I7" s="170">
        <f t="shared" si="1"/>
        <v>0</v>
      </c>
      <c r="J7" s="76"/>
      <c r="K7" s="76"/>
      <c r="L7" s="76"/>
      <c r="M7" s="76"/>
      <c r="N7" s="76"/>
    </row>
    <row r="8" spans="1:20" ht="15.75" thickBot="1">
      <c r="A8" s="95" t="s">
        <v>139</v>
      </c>
      <c r="B8" s="138"/>
      <c r="C8" s="79" t="s">
        <v>21</v>
      </c>
      <c r="D8" s="98">
        <f>DATABANK!C68</f>
        <v>5250.57</v>
      </c>
      <c r="E8" s="80" t="s">
        <v>53</v>
      </c>
      <c r="F8" s="110">
        <f>D8*B8</f>
        <v>0</v>
      </c>
      <c r="G8" s="110">
        <f t="shared" si="0"/>
        <v>0</v>
      </c>
      <c r="H8" s="154"/>
      <c r="I8" s="170">
        <f t="shared" si="1"/>
        <v>0</v>
      </c>
      <c r="J8" s="76"/>
      <c r="K8" s="76"/>
      <c r="L8" s="76"/>
      <c r="M8" s="76"/>
      <c r="N8" s="76"/>
    </row>
    <row r="9" spans="1:20" ht="15.75" thickBot="1">
      <c r="A9" s="95" t="s">
        <v>100</v>
      </c>
      <c r="B9" s="138"/>
      <c r="C9" s="79" t="s">
        <v>21</v>
      </c>
      <c r="D9" s="78">
        <f>DATABANK!C69</f>
        <v>33715.15</v>
      </c>
      <c r="E9" s="80" t="s">
        <v>52</v>
      </c>
      <c r="F9" s="110">
        <f>D9*B9</f>
        <v>0</v>
      </c>
      <c r="G9" s="110">
        <f t="shared" si="0"/>
        <v>0</v>
      </c>
      <c r="H9" s="153"/>
      <c r="I9" s="170">
        <f t="shared" si="1"/>
        <v>0</v>
      </c>
      <c r="J9" s="76"/>
      <c r="K9" s="76"/>
      <c r="L9" s="76"/>
      <c r="M9" s="76"/>
      <c r="N9" s="76"/>
    </row>
    <row r="10" spans="1:20" ht="15.75" thickBot="1">
      <c r="A10" s="95" t="s">
        <v>101</v>
      </c>
      <c r="B10" s="99"/>
      <c r="C10" s="97" t="s">
        <v>20</v>
      </c>
      <c r="D10" s="98">
        <f>DATABANK!C70</f>
        <v>54.91</v>
      </c>
      <c r="E10" s="100" t="s">
        <v>27</v>
      </c>
      <c r="F10" s="110">
        <f>B10*D10</f>
        <v>0</v>
      </c>
      <c r="G10" s="110">
        <f t="shared" si="0"/>
        <v>0</v>
      </c>
      <c r="H10" s="154"/>
      <c r="I10" s="170">
        <f t="shared" si="1"/>
        <v>0</v>
      </c>
      <c r="J10" s="76"/>
      <c r="K10" s="76"/>
      <c r="L10" s="76"/>
      <c r="M10" s="76"/>
      <c r="N10" s="76"/>
    </row>
    <row r="11" spans="1:20" ht="15.75" thickBot="1">
      <c r="A11" s="95" t="s">
        <v>103</v>
      </c>
      <c r="B11" s="99"/>
      <c r="C11" s="97" t="s">
        <v>20</v>
      </c>
      <c r="D11" s="98">
        <f>DATABANK!C71</f>
        <v>25.54</v>
      </c>
      <c r="E11" s="100" t="s">
        <v>27</v>
      </c>
      <c r="F11" s="110">
        <f>B11*D11</f>
        <v>0</v>
      </c>
      <c r="G11" s="110">
        <f t="shared" si="0"/>
        <v>0</v>
      </c>
      <c r="H11" s="153"/>
      <c r="I11" s="170">
        <f t="shared" si="1"/>
        <v>0</v>
      </c>
      <c r="J11" s="76"/>
      <c r="K11" s="76"/>
      <c r="L11" s="76"/>
      <c r="M11" s="76"/>
      <c r="N11" s="76"/>
    </row>
    <row r="12" spans="1:20" ht="15.75" thickBot="1">
      <c r="A12" s="95" t="s">
        <v>141</v>
      </c>
      <c r="B12" s="99"/>
      <c r="C12" s="79" t="s">
        <v>21</v>
      </c>
      <c r="D12" s="98">
        <f>DATABANK!C$59</f>
        <v>8939.6200000000008</v>
      </c>
      <c r="E12" s="80" t="s">
        <v>53</v>
      </c>
      <c r="F12" s="110">
        <f>B12*D12</f>
        <v>0</v>
      </c>
      <c r="G12" s="110">
        <f>ROUND(F12/12,2)</f>
        <v>0</v>
      </c>
      <c r="H12" s="154"/>
      <c r="I12" s="170">
        <f t="shared" si="1"/>
        <v>0</v>
      </c>
      <c r="J12" s="76"/>
      <c r="K12" s="76"/>
      <c r="L12" s="76"/>
      <c r="M12" s="76"/>
      <c r="N12" s="76"/>
    </row>
    <row r="13" spans="1:20" ht="15.75" thickBot="1">
      <c r="A13" s="60" t="s">
        <v>10</v>
      </c>
      <c r="B13" s="101"/>
      <c r="C13" s="84" t="s">
        <v>20</v>
      </c>
      <c r="D13" s="102"/>
      <c r="E13" s="86"/>
      <c r="F13" s="111"/>
      <c r="G13" s="111"/>
      <c r="H13" s="153"/>
      <c r="I13" s="170"/>
      <c r="J13" s="164">
        <f>ROUNDDOWN(B13,0)</f>
        <v>0</v>
      </c>
      <c r="K13" s="165">
        <f>J13+(B13-J13)/60*100</f>
        <v>0</v>
      </c>
    </row>
    <row r="14" spans="1:20" ht="15.75" thickBot="1">
      <c r="A14" s="60" t="s">
        <v>10</v>
      </c>
      <c r="B14" s="101"/>
      <c r="C14" s="84" t="s">
        <v>20</v>
      </c>
      <c r="D14" s="85">
        <v>0</v>
      </c>
      <c r="E14" s="83" t="s">
        <v>27</v>
      </c>
      <c r="F14" s="109">
        <v>0</v>
      </c>
      <c r="G14" s="109">
        <f t="shared" si="0"/>
        <v>0</v>
      </c>
      <c r="H14" s="154"/>
      <c r="I14" s="170"/>
    </row>
    <row r="15" spans="1:20">
      <c r="A15" s="60" t="s">
        <v>60</v>
      </c>
      <c r="B15" s="103">
        <f>ROUNDUP(MAX(MIN(2*($K13-B14-B16),2*E3/100*451),0),0)/2</f>
        <v>0</v>
      </c>
      <c r="C15" s="84" t="s">
        <v>20</v>
      </c>
      <c r="D15" s="85">
        <f>DATABANK!C82</f>
        <v>14.66</v>
      </c>
      <c r="E15" s="83" t="s">
        <v>27</v>
      </c>
      <c r="F15" s="109">
        <f>ROUND(B15*D15,2)</f>
        <v>0</v>
      </c>
      <c r="G15" s="109">
        <f t="shared" si="0"/>
        <v>0</v>
      </c>
      <c r="H15" s="153"/>
      <c r="I15" s="170"/>
    </row>
    <row r="16" spans="1:20">
      <c r="A16" s="60" t="s">
        <v>61</v>
      </c>
      <c r="B16" s="103">
        <f>ROUNDUP(2*MAX($K13-E3/100*750,0),0)/2</f>
        <v>0</v>
      </c>
      <c r="C16" s="84" t="s">
        <v>20</v>
      </c>
      <c r="D16" s="85">
        <f>DATABANK!C79</f>
        <v>35.92</v>
      </c>
      <c r="E16" s="83" t="s">
        <v>27</v>
      </c>
      <c r="F16" s="109">
        <f>ROUND(B16*D16,2)</f>
        <v>0</v>
      </c>
      <c r="G16" s="109">
        <f t="shared" si="0"/>
        <v>0</v>
      </c>
      <c r="H16" s="153"/>
      <c r="I16" s="170"/>
    </row>
    <row r="17" spans="1:10">
      <c r="A17" s="60" t="s">
        <v>62</v>
      </c>
      <c r="B17" s="103">
        <f>ROUNDUP(2*MAX($K13-E3/100*836,0),0)/2</f>
        <v>0</v>
      </c>
      <c r="C17" s="84" t="s">
        <v>20</v>
      </c>
      <c r="D17" s="85">
        <f>DATABANK!C83</f>
        <v>107.34</v>
      </c>
      <c r="E17" s="83" t="s">
        <v>27</v>
      </c>
      <c r="F17" s="109">
        <f>ROUND(B17*D17,2)</f>
        <v>0</v>
      </c>
      <c r="G17" s="109">
        <f t="shared" si="0"/>
        <v>0</v>
      </c>
      <c r="H17" s="154"/>
      <c r="I17" s="171"/>
    </row>
    <row r="18" spans="1:10" ht="15.75" thickBot="1">
      <c r="A18" s="60" t="s">
        <v>99</v>
      </c>
      <c r="B18" s="103"/>
      <c r="C18" s="84" t="s">
        <v>20</v>
      </c>
      <c r="D18" s="85">
        <f>DATABANK!C87</f>
        <v>0</v>
      </c>
      <c r="E18" s="83" t="s">
        <v>27</v>
      </c>
      <c r="F18" s="109">
        <v>0</v>
      </c>
      <c r="G18" s="109">
        <f t="shared" si="0"/>
        <v>0</v>
      </c>
      <c r="H18" s="153"/>
      <c r="I18" s="171"/>
    </row>
    <row r="19" spans="1:10" ht="15.75" thickBot="1">
      <c r="A19" s="81" t="s">
        <v>75</v>
      </c>
      <c r="B19" s="104"/>
      <c r="C19" s="84" t="s">
        <v>20</v>
      </c>
      <c r="D19" s="85">
        <f>DATABANK!C92</f>
        <v>45.99</v>
      </c>
      <c r="E19" s="83" t="s">
        <v>27</v>
      </c>
      <c r="F19" s="109">
        <f t="shared" ref="F19:F23" si="2">ROUND(B19*D19,2)</f>
        <v>0</v>
      </c>
      <c r="G19" s="109">
        <f t="shared" si="0"/>
        <v>0</v>
      </c>
      <c r="H19" s="153"/>
      <c r="I19" s="171"/>
    </row>
    <row r="20" spans="1:10" ht="15.75" thickBot="1">
      <c r="A20" s="81" t="s">
        <v>106</v>
      </c>
      <c r="B20" s="104"/>
      <c r="C20" s="84" t="s">
        <v>20</v>
      </c>
      <c r="D20" s="85">
        <f>DATABANK!C90</f>
        <v>27.81</v>
      </c>
      <c r="E20" s="83" t="s">
        <v>27</v>
      </c>
      <c r="F20" s="109">
        <f>ROUND(B20*D20,2)</f>
        <v>0</v>
      </c>
      <c r="G20" s="109">
        <f t="shared" si="0"/>
        <v>0</v>
      </c>
      <c r="H20" s="154"/>
      <c r="I20" s="171"/>
    </row>
    <row r="21" spans="1:10" ht="15.75" thickBot="1">
      <c r="A21" s="81" t="s">
        <v>78</v>
      </c>
      <c r="B21" s="104"/>
      <c r="C21" s="84" t="s">
        <v>20</v>
      </c>
      <c r="D21" s="85">
        <f>DATABANK!C94</f>
        <v>22.81</v>
      </c>
      <c r="E21" s="83" t="s">
        <v>27</v>
      </c>
      <c r="F21" s="109">
        <f t="shared" si="2"/>
        <v>0</v>
      </c>
      <c r="G21" s="109">
        <f t="shared" si="0"/>
        <v>0</v>
      </c>
      <c r="H21" s="154"/>
      <c r="I21" s="171"/>
    </row>
    <row r="22" spans="1:10" ht="15.75" thickBot="1">
      <c r="A22" s="81" t="s">
        <v>80</v>
      </c>
      <c r="B22" s="104"/>
      <c r="C22" s="84" t="s">
        <v>20</v>
      </c>
      <c r="D22" s="85">
        <f>DATABANK!C96</f>
        <v>36.65</v>
      </c>
      <c r="E22" s="83" t="s">
        <v>27</v>
      </c>
      <c r="F22" s="109">
        <f t="shared" si="2"/>
        <v>0</v>
      </c>
      <c r="G22" s="109">
        <f t="shared" si="0"/>
        <v>0</v>
      </c>
      <c r="H22" s="154"/>
      <c r="I22" s="172"/>
    </row>
    <row r="23" spans="1:10" ht="15.75" thickBot="1">
      <c r="A23" s="60" t="s">
        <v>102</v>
      </c>
      <c r="B23" s="105"/>
      <c r="C23" s="88" t="s">
        <v>21</v>
      </c>
      <c r="D23" s="85">
        <f>DATABANK!C$103</f>
        <v>12770.89</v>
      </c>
      <c r="E23" s="83" t="s">
        <v>88</v>
      </c>
      <c r="F23" s="109">
        <f t="shared" si="2"/>
        <v>0</v>
      </c>
      <c r="G23" s="109">
        <f t="shared" si="0"/>
        <v>0</v>
      </c>
      <c r="H23" s="154"/>
      <c r="I23" s="171"/>
    </row>
    <row r="24" spans="1:10" ht="16.5" thickBot="1">
      <c r="A24" s="122" t="s">
        <v>6</v>
      </c>
      <c r="B24" s="123"/>
      <c r="C24" s="124"/>
      <c r="D24" s="125"/>
      <c r="E24" s="126"/>
      <c r="F24" s="106">
        <f>SUM(F4:F23)</f>
        <v>359764.97</v>
      </c>
      <c r="G24" s="106">
        <f t="shared" si="0"/>
        <v>29980.41</v>
      </c>
      <c r="H24" s="156">
        <f>SUM(H4:H23)</f>
        <v>0</v>
      </c>
      <c r="I24" s="179">
        <f>SUM(I5:I23)</f>
        <v>1025.36581</v>
      </c>
      <c r="J24" s="178"/>
    </row>
    <row r="25" spans="1:10" ht="16.5" thickBot="1">
      <c r="A25" s="122" t="s">
        <v>120</v>
      </c>
      <c r="B25" s="142"/>
      <c r="C25" s="143"/>
      <c r="D25" s="144"/>
      <c r="E25" s="145"/>
      <c r="F25" s="149"/>
      <c r="G25" s="150">
        <f>H24-G24</f>
        <v>-29980.41</v>
      </c>
      <c r="H25" s="177"/>
      <c r="I25" s="175">
        <f>I24/12</f>
        <v>85.447150833333339</v>
      </c>
      <c r="J25" s="178"/>
    </row>
    <row r="26" spans="1:10" ht="15.75" thickBot="1">
      <c r="A26" s="152" t="s">
        <v>121</v>
      </c>
      <c r="B26" s="54"/>
      <c r="C26" s="47"/>
      <c r="D26" s="48"/>
      <c r="E26" s="49"/>
      <c r="H26" s="16"/>
      <c r="I26" s="176" t="s">
        <v>131</v>
      </c>
    </row>
    <row r="27" spans="1:10">
      <c r="A27" s="313"/>
      <c r="B27" s="314"/>
      <c r="C27" s="314"/>
      <c r="D27" s="314"/>
      <c r="E27" s="314"/>
      <c r="F27" s="314"/>
      <c r="G27" s="314"/>
      <c r="H27" s="315"/>
      <c r="I27" s="5"/>
    </row>
    <row r="28" spans="1:10">
      <c r="A28" s="316"/>
      <c r="B28" s="317"/>
      <c r="C28" s="317"/>
      <c r="D28" s="317"/>
      <c r="E28" s="317"/>
      <c r="F28" s="317"/>
      <c r="G28" s="317"/>
      <c r="H28" s="318"/>
    </row>
    <row r="29" spans="1:10">
      <c r="A29" s="316"/>
      <c r="B29" s="317"/>
      <c r="C29" s="317"/>
      <c r="D29" s="317"/>
      <c r="E29" s="317"/>
      <c r="F29" s="317"/>
      <c r="G29" s="317"/>
      <c r="H29" s="318"/>
    </row>
    <row r="30" spans="1:10">
      <c r="A30" s="316"/>
      <c r="B30" s="317"/>
      <c r="C30" s="317"/>
      <c r="D30" s="317"/>
      <c r="E30" s="317"/>
      <c r="F30" s="317"/>
      <c r="G30" s="317"/>
      <c r="H30" s="318"/>
    </row>
    <row r="31" spans="1:10">
      <c r="A31" s="316"/>
      <c r="B31" s="317"/>
      <c r="C31" s="317"/>
      <c r="D31" s="317"/>
      <c r="E31" s="317"/>
      <c r="F31" s="317"/>
      <c r="G31" s="317"/>
      <c r="H31" s="318"/>
    </row>
    <row r="32" spans="1:10">
      <c r="A32" s="319"/>
      <c r="B32" s="320"/>
      <c r="C32" s="320"/>
      <c r="D32" s="320"/>
      <c r="E32" s="320"/>
      <c r="F32" s="320"/>
      <c r="G32" s="320"/>
      <c r="H32" s="321"/>
    </row>
    <row r="33" spans="1:8">
      <c r="A33" s="60" t="s">
        <v>132</v>
      </c>
      <c r="B33" s="151"/>
      <c r="H33" s="16"/>
    </row>
  </sheetData>
  <mergeCells count="5">
    <mergeCell ref="I2:I3"/>
    <mergeCell ref="F1:G1"/>
    <mergeCell ref="F2:G2"/>
    <mergeCell ref="A27:H32"/>
    <mergeCell ref="H2:H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8" orientation="portrait" r:id="rId1"/>
  <headerFooter alignWithMargins="0"/>
  <ignoredErrors>
    <ignoredError sqref="E3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 enableFormatConditionsCalculation="0">
    <tabColor indexed="10"/>
    <pageSetUpPr fitToPage="1"/>
  </sheetPr>
  <dimension ref="A1:U52"/>
  <sheetViews>
    <sheetView zoomScaleNormal="100" workbookViewId="0">
      <selection sqref="A1:E1"/>
    </sheetView>
  </sheetViews>
  <sheetFormatPr defaultRowHeight="15"/>
  <cols>
    <col min="1" max="1" width="18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7" width="10.77734375" style="16" customWidth="1"/>
    <col min="8" max="8" width="10.44140625" style="29" bestFit="1" customWidth="1"/>
    <col min="9" max="10" width="6.44140625" style="72" bestFit="1" customWidth="1"/>
    <col min="11" max="11" width="6.44140625" style="190" bestFit="1" customWidth="1"/>
    <col min="12" max="14" width="6.44140625" style="73" bestFit="1" customWidth="1"/>
    <col min="15" max="20" width="5.77734375" style="73" customWidth="1"/>
    <col min="21" max="21" width="6.44140625" style="73" bestFit="1" customWidth="1"/>
    <col min="22" max="16384" width="8.88671875" style="5"/>
  </cols>
  <sheetData>
    <row r="1" spans="1:20" ht="16.5" thickBot="1">
      <c r="A1" s="89" t="s">
        <v>154</v>
      </c>
      <c r="B1" s="90"/>
      <c r="C1" s="91"/>
      <c r="D1" s="91"/>
      <c r="E1" s="92"/>
      <c r="F1" s="308" t="s">
        <v>9</v>
      </c>
      <c r="G1" s="309"/>
      <c r="I1" s="164"/>
    </row>
    <row r="2" spans="1:20" ht="16.5" thickBot="1">
      <c r="A2" s="185" t="str">
        <f>IF(B5+B10+B14+B18&gt;1,"Snyd! - du skal kun skrive i 1 af de 4 felter for anciennitet",".")</f>
        <v>.</v>
      </c>
      <c r="B2" s="93"/>
      <c r="C2" s="93"/>
      <c r="D2" s="93"/>
      <c r="E2" s="93"/>
      <c r="F2" s="310" t="str">
        <f>DATABANK!B20</f>
        <v>1.4.2013</v>
      </c>
      <c r="G2" s="310"/>
      <c r="H2" s="311" t="s">
        <v>119</v>
      </c>
      <c r="I2" s="164"/>
    </row>
    <row r="3" spans="1:20" ht="15.75" thickBot="1">
      <c r="A3" s="60" t="s">
        <v>32</v>
      </c>
      <c r="B3" s="193">
        <v>37</v>
      </c>
      <c r="C3" s="81"/>
      <c r="D3" s="82" t="s">
        <v>26</v>
      </c>
      <c r="E3" s="182">
        <f>B3/0.37</f>
        <v>100</v>
      </c>
      <c r="F3" s="112" t="s">
        <v>31</v>
      </c>
      <c r="G3" s="112" t="s">
        <v>30</v>
      </c>
      <c r="H3" s="312"/>
      <c r="I3" s="164"/>
    </row>
    <row r="4" spans="1:20" ht="15.75" thickBot="1">
      <c r="A4" s="60" t="s">
        <v>22</v>
      </c>
      <c r="B4" s="94">
        <v>30</v>
      </c>
      <c r="C4" s="84"/>
      <c r="D4" s="85">
        <f>DATABANK!B30</f>
        <v>311087</v>
      </c>
      <c r="E4" s="86" t="s">
        <v>52</v>
      </c>
      <c r="F4" s="107">
        <f>ROUND($E$3/100*D4,2)</f>
        <v>311087</v>
      </c>
      <c r="G4" s="107">
        <f>ROUND(F4/12,2)</f>
        <v>25923.919999999998</v>
      </c>
      <c r="H4" s="153"/>
      <c r="I4" s="180"/>
      <c r="J4" s="76"/>
      <c r="K4" s="191"/>
      <c r="L4" s="76"/>
      <c r="M4" s="76"/>
      <c r="N4" s="76"/>
    </row>
    <row r="5" spans="1:20" ht="15.75" thickBot="1">
      <c r="A5" s="206" t="s">
        <v>83</v>
      </c>
      <c r="B5" s="87"/>
      <c r="C5" s="113" t="s">
        <v>21</v>
      </c>
      <c r="D5" s="114"/>
      <c r="E5" s="115"/>
      <c r="F5" s="107"/>
      <c r="G5" s="107"/>
      <c r="H5" s="153"/>
      <c r="I5" s="180"/>
      <c r="J5" s="76"/>
      <c r="K5" s="191"/>
      <c r="L5" s="76"/>
      <c r="M5" s="76"/>
      <c r="N5" s="76"/>
      <c r="O5" s="72"/>
      <c r="P5" s="72"/>
      <c r="Q5" s="72"/>
      <c r="R5" s="72"/>
      <c r="S5" s="72"/>
      <c r="T5" s="72"/>
    </row>
    <row r="6" spans="1:20">
      <c r="A6" s="128" t="s">
        <v>82</v>
      </c>
      <c r="B6" s="88"/>
      <c r="C6" s="88"/>
      <c r="D6" s="77">
        <f>DATABANK!C57</f>
        <v>3831.27</v>
      </c>
      <c r="E6" s="116" t="s">
        <v>52</v>
      </c>
      <c r="F6" s="107">
        <f>ROUND(B5*E$3/100*D6,2)</f>
        <v>0</v>
      </c>
      <c r="G6" s="107">
        <f t="shared" ref="G6:G28" si="0">ROUND(F6/12,2)</f>
        <v>0</v>
      </c>
      <c r="H6" s="153"/>
      <c r="I6" s="180"/>
      <c r="J6" s="76"/>
      <c r="K6" s="191"/>
      <c r="L6" s="76"/>
      <c r="M6" s="76"/>
      <c r="N6" s="76"/>
      <c r="O6" s="72"/>
      <c r="P6" s="72"/>
      <c r="Q6" s="72"/>
      <c r="R6" s="72"/>
      <c r="S6" s="72"/>
      <c r="T6" s="72"/>
    </row>
    <row r="7" spans="1:20">
      <c r="A7" s="129" t="s">
        <v>116</v>
      </c>
      <c r="B7" s="79"/>
      <c r="C7" s="79"/>
      <c r="D7" s="78">
        <f>(DATABANK!B33-DATABANK!B30)</f>
        <v>13450</v>
      </c>
      <c r="E7" s="117" t="s">
        <v>52</v>
      </c>
      <c r="F7" s="108">
        <f>ROUND(B5*E$3/100*D7,2)</f>
        <v>0</v>
      </c>
      <c r="G7" s="108">
        <f t="shared" si="0"/>
        <v>0</v>
      </c>
      <c r="H7" s="153"/>
      <c r="I7" s="180"/>
      <c r="J7" s="76"/>
      <c r="K7" s="191"/>
      <c r="L7" s="76"/>
      <c r="M7" s="76"/>
      <c r="N7" s="76"/>
      <c r="O7" s="72"/>
      <c r="P7" s="72"/>
      <c r="Q7" s="72"/>
      <c r="R7" s="72"/>
      <c r="S7" s="72"/>
      <c r="T7" s="72"/>
    </row>
    <row r="8" spans="1:20">
      <c r="A8" s="129" t="s">
        <v>90</v>
      </c>
      <c r="B8" s="79"/>
      <c r="C8" s="79"/>
      <c r="D8" s="78">
        <f>(DATABANK!B34-DATABANK!B33)</f>
        <v>4633</v>
      </c>
      <c r="E8" s="117" t="s">
        <v>52</v>
      </c>
      <c r="F8" s="108">
        <f>ROUND(B5*E$3/100*D8,2)</f>
        <v>0</v>
      </c>
      <c r="G8" s="108">
        <f t="shared" si="0"/>
        <v>0</v>
      </c>
      <c r="H8" s="153"/>
      <c r="I8" s="180"/>
      <c r="J8" s="76"/>
      <c r="K8" s="191"/>
      <c r="L8" s="76"/>
      <c r="M8" s="76"/>
      <c r="N8" s="76"/>
      <c r="O8" s="72"/>
      <c r="P8" s="72"/>
      <c r="Q8" s="72"/>
      <c r="R8" s="72"/>
      <c r="S8" s="72"/>
      <c r="T8" s="72"/>
    </row>
    <row r="9" spans="1:20" ht="16.5" thickBot="1">
      <c r="A9" s="130" t="s">
        <v>91</v>
      </c>
      <c r="B9" s="118"/>
      <c r="C9" s="118"/>
      <c r="D9" s="119">
        <f>(DATABANK!B36-DATABANK!B34)</f>
        <v>9476</v>
      </c>
      <c r="E9" s="120" t="s">
        <v>52</v>
      </c>
      <c r="F9" s="108">
        <f>ROUND(B5*E$3/100*D9,2)</f>
        <v>0</v>
      </c>
      <c r="G9" s="108">
        <f t="shared" si="0"/>
        <v>0</v>
      </c>
      <c r="H9" s="153"/>
      <c r="I9" s="180"/>
      <c r="J9" s="76"/>
      <c r="K9" s="191"/>
      <c r="L9" s="76"/>
      <c r="M9" s="76"/>
      <c r="N9" s="76"/>
    </row>
    <row r="10" spans="1:20" ht="15.75" thickBot="1">
      <c r="A10" s="206" t="s">
        <v>84</v>
      </c>
      <c r="B10" s="87"/>
      <c r="C10" s="113" t="s">
        <v>21</v>
      </c>
      <c r="D10" s="114">
        <f>(DATABANK!B34-DATABANK!B30)</f>
        <v>18083</v>
      </c>
      <c r="E10" s="115" t="s">
        <v>52</v>
      </c>
      <c r="F10" s="109">
        <f>ROUND(B10*E$3/100*D10,2)</f>
        <v>0</v>
      </c>
      <c r="G10" s="109">
        <f t="shared" si="0"/>
        <v>0</v>
      </c>
      <c r="H10" s="154"/>
      <c r="I10" s="180"/>
      <c r="J10" s="76"/>
      <c r="K10" s="191"/>
      <c r="L10" s="76"/>
      <c r="M10" s="76"/>
      <c r="N10" s="76"/>
      <c r="O10" s="72"/>
      <c r="P10" s="72"/>
      <c r="Q10" s="72"/>
      <c r="R10" s="72"/>
      <c r="S10" s="72"/>
      <c r="T10" s="72"/>
    </row>
    <row r="11" spans="1:20">
      <c r="A11" s="128" t="s">
        <v>82</v>
      </c>
      <c r="B11" s="88"/>
      <c r="C11" s="88"/>
      <c r="D11" s="77">
        <f>DATABANK!C57</f>
        <v>3831.27</v>
      </c>
      <c r="E11" s="116" t="s">
        <v>52</v>
      </c>
      <c r="F11" s="107">
        <f>ROUND(B10*E$3/100*D11,2)</f>
        <v>0</v>
      </c>
      <c r="G11" s="107">
        <f t="shared" si="0"/>
        <v>0</v>
      </c>
      <c r="H11" s="153"/>
      <c r="I11" s="180"/>
      <c r="J11" s="76"/>
      <c r="K11" s="191"/>
      <c r="L11" s="76"/>
      <c r="M11" s="76"/>
      <c r="N11" s="76"/>
      <c r="O11" s="72"/>
      <c r="P11" s="72"/>
      <c r="Q11" s="72"/>
      <c r="R11" s="72"/>
      <c r="S11" s="72"/>
      <c r="T11" s="72"/>
    </row>
    <row r="12" spans="1:20">
      <c r="A12" s="129" t="s">
        <v>116</v>
      </c>
      <c r="B12" s="79"/>
      <c r="C12" s="79"/>
      <c r="D12" s="78">
        <f>(DATABANK!B37-DATABANK!B34)</f>
        <v>14325</v>
      </c>
      <c r="E12" s="117" t="s">
        <v>52</v>
      </c>
      <c r="F12" s="108">
        <f>ROUND(B10*E$3/100*D12,2)</f>
        <v>0</v>
      </c>
      <c r="G12" s="108">
        <f t="shared" si="0"/>
        <v>0</v>
      </c>
      <c r="H12" s="153"/>
      <c r="I12" s="180"/>
      <c r="J12" s="76"/>
      <c r="K12" s="191"/>
      <c r="L12" s="76"/>
      <c r="M12" s="76"/>
      <c r="N12" s="76"/>
      <c r="O12" s="72"/>
      <c r="P12" s="72"/>
      <c r="Q12" s="72"/>
      <c r="R12" s="72"/>
      <c r="S12" s="72"/>
      <c r="T12" s="72"/>
    </row>
    <row r="13" spans="1:20" ht="15.75" thickBot="1">
      <c r="A13" s="130" t="s">
        <v>117</v>
      </c>
      <c r="B13" s="121"/>
      <c r="C13" s="121"/>
      <c r="D13" s="119">
        <f>(DATABANK!B38-DATABANK!B37)</f>
        <v>5241</v>
      </c>
      <c r="E13" s="120" t="s">
        <v>52</v>
      </c>
      <c r="F13" s="108">
        <f>ROUND(B10*E$3/100*D13,2)</f>
        <v>0</v>
      </c>
      <c r="G13" s="108">
        <f t="shared" si="0"/>
        <v>0</v>
      </c>
      <c r="H13" s="153"/>
      <c r="I13" s="180"/>
      <c r="J13" s="76"/>
      <c r="K13" s="191"/>
      <c r="L13" s="76"/>
      <c r="M13" s="76"/>
      <c r="N13" s="76"/>
      <c r="O13" s="72"/>
      <c r="P13" s="72"/>
      <c r="Q13" s="72"/>
      <c r="R13" s="72"/>
      <c r="S13" s="72"/>
      <c r="T13" s="72"/>
    </row>
    <row r="14" spans="1:20" ht="15.75" thickBot="1">
      <c r="A14" s="206" t="s">
        <v>85</v>
      </c>
      <c r="B14" s="87"/>
      <c r="C14" s="113" t="s">
        <v>21</v>
      </c>
      <c r="D14" s="114">
        <f>(DATABANK!B$39-DATABANK!B$30)</f>
        <v>42751</v>
      </c>
      <c r="E14" s="115" t="s">
        <v>52</v>
      </c>
      <c r="F14" s="109">
        <f>ROUND(B14*E$3/100*D14,2)</f>
        <v>0</v>
      </c>
      <c r="G14" s="109">
        <f t="shared" si="0"/>
        <v>0</v>
      </c>
      <c r="H14" s="154"/>
      <c r="I14" s="180"/>
      <c r="J14" s="76"/>
      <c r="K14" s="191"/>
      <c r="L14" s="76"/>
      <c r="M14" s="76"/>
      <c r="N14" s="76"/>
      <c r="O14" s="72"/>
      <c r="P14" s="72"/>
      <c r="Q14" s="72"/>
      <c r="R14" s="72"/>
      <c r="S14" s="72"/>
      <c r="T14" s="72"/>
    </row>
    <row r="15" spans="1:20">
      <c r="A15" s="128" t="s">
        <v>82</v>
      </c>
      <c r="B15" s="88"/>
      <c r="C15" s="88"/>
      <c r="D15" s="77">
        <v>0</v>
      </c>
      <c r="E15" s="116" t="s">
        <v>52</v>
      </c>
      <c r="F15" s="107">
        <f>ROUND(B14*E$3/100*D15,2)</f>
        <v>0</v>
      </c>
      <c r="G15" s="107">
        <f t="shared" si="0"/>
        <v>0</v>
      </c>
      <c r="H15" s="153"/>
      <c r="I15" s="180"/>
      <c r="J15" s="76"/>
      <c r="K15" s="191"/>
      <c r="L15" s="76"/>
      <c r="M15" s="76"/>
      <c r="N15" s="76"/>
      <c r="O15" s="72"/>
      <c r="P15" s="72"/>
      <c r="Q15" s="72"/>
      <c r="R15" s="72"/>
      <c r="S15" s="72"/>
      <c r="T15" s="72"/>
    </row>
    <row r="16" spans="1:20">
      <c r="A16" s="129" t="s">
        <v>116</v>
      </c>
      <c r="B16" s="79"/>
      <c r="C16" s="79"/>
      <c r="D16" s="78">
        <f>(DATABANK!B42-DATABANK!B39)</f>
        <v>15775</v>
      </c>
      <c r="E16" s="117" t="s">
        <v>52</v>
      </c>
      <c r="F16" s="108">
        <f>ROUND(B14*E$3/100*D16,2)</f>
        <v>0</v>
      </c>
      <c r="G16" s="108">
        <f t="shared" si="0"/>
        <v>0</v>
      </c>
      <c r="H16" s="153"/>
      <c r="I16" s="180"/>
      <c r="J16" s="76"/>
      <c r="K16" s="191"/>
      <c r="L16" s="76"/>
      <c r="M16" s="76"/>
      <c r="N16" s="76"/>
      <c r="O16" s="72"/>
      <c r="P16" s="72"/>
      <c r="Q16" s="72"/>
      <c r="R16" s="72"/>
      <c r="S16" s="72"/>
      <c r="T16" s="72"/>
    </row>
    <row r="17" spans="1:20" ht="15.75" thickBot="1">
      <c r="A17" s="130" t="s">
        <v>117</v>
      </c>
      <c r="B17" s="121"/>
      <c r="C17" s="121"/>
      <c r="D17" s="119">
        <f>(DATABANK!B43-DATABANK!B42)</f>
        <v>8214</v>
      </c>
      <c r="E17" s="120" t="s">
        <v>52</v>
      </c>
      <c r="F17" s="108">
        <f>ROUND(B14*E$3/100*D17,2)</f>
        <v>0</v>
      </c>
      <c r="G17" s="108">
        <f t="shared" si="0"/>
        <v>0</v>
      </c>
      <c r="H17" s="153"/>
      <c r="I17" s="180"/>
      <c r="J17" s="76"/>
      <c r="K17" s="191"/>
      <c r="L17" s="76"/>
      <c r="M17" s="76"/>
      <c r="N17" s="76"/>
    </row>
    <row r="18" spans="1:20" ht="15.75" thickBot="1">
      <c r="A18" s="206" t="s">
        <v>89</v>
      </c>
      <c r="B18" s="87"/>
      <c r="C18" s="113" t="s">
        <v>21</v>
      </c>
      <c r="D18" s="114">
        <f>D14</f>
        <v>42751</v>
      </c>
      <c r="E18" s="115" t="s">
        <v>52</v>
      </c>
      <c r="F18" s="109">
        <f>ROUND(B18*E$3/100*D18,2)</f>
        <v>0</v>
      </c>
      <c r="G18" s="109">
        <f t="shared" si="0"/>
        <v>0</v>
      </c>
      <c r="H18" s="154"/>
      <c r="I18" s="180"/>
      <c r="J18" s="76"/>
      <c r="K18" s="191"/>
      <c r="L18" s="76"/>
      <c r="M18" s="76"/>
      <c r="N18" s="76"/>
      <c r="O18" s="72"/>
      <c r="P18" s="72"/>
      <c r="Q18" s="72"/>
      <c r="R18" s="72"/>
      <c r="S18" s="72"/>
      <c r="T18" s="72"/>
    </row>
    <row r="19" spans="1:20">
      <c r="A19" s="128" t="s">
        <v>82</v>
      </c>
      <c r="B19" s="88"/>
      <c r="C19" s="88"/>
      <c r="D19" s="77">
        <f>DATABANK!C57</f>
        <v>3831.27</v>
      </c>
      <c r="E19" s="116" t="s">
        <v>52</v>
      </c>
      <c r="F19" s="107">
        <f>ROUND(B18*E$3/100*D19,2)</f>
        <v>0</v>
      </c>
      <c r="G19" s="107">
        <f>ROUND(F19/12,2)</f>
        <v>0</v>
      </c>
      <c r="H19" s="153"/>
      <c r="I19" s="180"/>
      <c r="J19" s="76"/>
      <c r="K19" s="191"/>
      <c r="L19" s="76"/>
      <c r="M19" s="76"/>
      <c r="N19" s="76"/>
    </row>
    <row r="20" spans="1:20">
      <c r="A20" s="128" t="s">
        <v>82</v>
      </c>
      <c r="B20" s="88"/>
      <c r="C20" s="88"/>
      <c r="D20" s="77">
        <f>DATABANK!C60-D19</f>
        <v>8939.619999999999</v>
      </c>
      <c r="E20" s="116" t="s">
        <v>52</v>
      </c>
      <c r="F20" s="107">
        <f>ROUND(B18*E$3/100*D20,2)</f>
        <v>0</v>
      </c>
      <c r="G20" s="107">
        <f t="shared" si="0"/>
        <v>0</v>
      </c>
      <c r="H20" s="153"/>
      <c r="I20" s="180"/>
      <c r="J20" s="76"/>
      <c r="K20" s="191"/>
      <c r="L20" s="76"/>
      <c r="M20" s="76"/>
      <c r="N20" s="76"/>
    </row>
    <row r="21" spans="1:20">
      <c r="A21" s="129" t="s">
        <v>116</v>
      </c>
      <c r="B21" s="79"/>
      <c r="C21" s="79"/>
      <c r="D21" s="78">
        <f>D16</f>
        <v>15775</v>
      </c>
      <c r="E21" s="117" t="s">
        <v>52</v>
      </c>
      <c r="F21" s="108">
        <f>ROUND(B18*E$3/100*D21,2)</f>
        <v>0</v>
      </c>
      <c r="G21" s="108">
        <f t="shared" si="0"/>
        <v>0</v>
      </c>
      <c r="H21" s="153"/>
      <c r="I21" s="180"/>
      <c r="J21" s="76"/>
      <c r="K21" s="191"/>
      <c r="L21" s="76"/>
      <c r="M21" s="76"/>
      <c r="N21" s="76"/>
    </row>
    <row r="22" spans="1:20" ht="15.75" thickBot="1">
      <c r="A22" s="130" t="s">
        <v>117</v>
      </c>
      <c r="B22" s="121"/>
      <c r="C22" s="121"/>
      <c r="D22" s="119">
        <f>D17</f>
        <v>8214</v>
      </c>
      <c r="E22" s="120" t="s">
        <v>52</v>
      </c>
      <c r="F22" s="108">
        <f>ROUND(B18*E$3/100*D22,2)</f>
        <v>0</v>
      </c>
      <c r="G22" s="108">
        <f t="shared" si="0"/>
        <v>0</v>
      </c>
      <c r="H22" s="153"/>
      <c r="I22" s="180"/>
      <c r="J22" s="76"/>
      <c r="K22" s="191"/>
      <c r="L22" s="76"/>
      <c r="M22" s="76"/>
      <c r="N22" s="76"/>
    </row>
    <row r="23" spans="1:20" ht="15.75" thickBot="1">
      <c r="A23" s="95" t="s">
        <v>105</v>
      </c>
      <c r="B23" s="96"/>
      <c r="C23" s="97"/>
      <c r="D23" s="98">
        <f>IF(B39+B40&gt;0,DATABANK!C64,DATABANK!C62)</f>
        <v>8991.98</v>
      </c>
      <c r="E23" s="80" t="s">
        <v>53</v>
      </c>
      <c r="F23" s="110">
        <f>D23</f>
        <v>8991.98</v>
      </c>
      <c r="G23" s="110">
        <f t="shared" si="0"/>
        <v>749.33</v>
      </c>
      <c r="H23" s="154"/>
      <c r="I23" s="180"/>
      <c r="J23" s="76"/>
      <c r="K23" s="191"/>
      <c r="L23" s="76"/>
      <c r="M23" s="76"/>
      <c r="N23" s="76"/>
    </row>
    <row r="24" spans="1:20" ht="15.75" thickBot="1">
      <c r="A24" s="95" t="s">
        <v>140</v>
      </c>
      <c r="B24" s="137"/>
      <c r="C24" s="79" t="s">
        <v>21</v>
      </c>
      <c r="D24" s="98">
        <f>DATABANK!C67</f>
        <v>9195.0400000000009</v>
      </c>
      <c r="E24" s="80" t="s">
        <v>53</v>
      </c>
      <c r="F24" s="110">
        <f>D24*B24</f>
        <v>0</v>
      </c>
      <c r="G24" s="110">
        <f t="shared" si="0"/>
        <v>0</v>
      </c>
      <c r="H24" s="154"/>
      <c r="I24" s="180"/>
      <c r="J24" s="76"/>
      <c r="K24" s="191"/>
      <c r="L24" s="76"/>
      <c r="M24" s="76"/>
      <c r="N24" s="76"/>
    </row>
    <row r="25" spans="1:20" ht="15.75" thickBot="1">
      <c r="A25" s="95" t="s">
        <v>139</v>
      </c>
      <c r="B25" s="138"/>
      <c r="C25" s="79" t="s">
        <v>21</v>
      </c>
      <c r="D25" s="98">
        <f>DATABANK!C68</f>
        <v>5250.57</v>
      </c>
      <c r="E25" s="80" t="s">
        <v>53</v>
      </c>
      <c r="F25" s="110">
        <f>D25*B25</f>
        <v>0</v>
      </c>
      <c r="G25" s="110">
        <f t="shared" si="0"/>
        <v>0</v>
      </c>
      <c r="H25" s="154"/>
      <c r="I25" s="180"/>
      <c r="J25" s="76"/>
      <c r="K25" s="191"/>
      <c r="L25" s="76"/>
      <c r="M25" s="76"/>
      <c r="N25" s="76"/>
    </row>
    <row r="26" spans="1:20" ht="15.75" thickBot="1">
      <c r="A26" s="95" t="s">
        <v>100</v>
      </c>
      <c r="B26" s="138"/>
      <c r="C26" s="79" t="s">
        <v>21</v>
      </c>
      <c r="D26" s="78">
        <f>DATABANK!C69</f>
        <v>33715.15</v>
      </c>
      <c r="E26" s="80" t="s">
        <v>52</v>
      </c>
      <c r="F26" s="110">
        <f>D26*B26</f>
        <v>0</v>
      </c>
      <c r="G26" s="110">
        <f t="shared" si="0"/>
        <v>0</v>
      </c>
      <c r="H26" s="154"/>
      <c r="I26" s="180"/>
      <c r="J26" s="76"/>
      <c r="K26" s="191"/>
      <c r="L26" s="76"/>
      <c r="M26" s="76"/>
      <c r="N26" s="76"/>
    </row>
    <row r="27" spans="1:20" ht="15.75" thickBot="1">
      <c r="A27" s="95" t="s">
        <v>101</v>
      </c>
      <c r="B27" s="99"/>
      <c r="C27" s="97" t="s">
        <v>20</v>
      </c>
      <c r="D27" s="98">
        <f>DATABANK!C70</f>
        <v>54.91</v>
      </c>
      <c r="E27" s="100" t="s">
        <v>27</v>
      </c>
      <c r="F27" s="110">
        <f>B27*D27</f>
        <v>0</v>
      </c>
      <c r="G27" s="110">
        <f t="shared" si="0"/>
        <v>0</v>
      </c>
      <c r="H27" s="154"/>
      <c r="I27" s="180"/>
      <c r="J27" s="76"/>
      <c r="K27" s="191"/>
      <c r="L27" s="76"/>
      <c r="M27" s="76"/>
      <c r="N27" s="76"/>
    </row>
    <row r="28" spans="1:20" ht="15.75" thickBot="1">
      <c r="A28" s="95" t="s">
        <v>103</v>
      </c>
      <c r="B28" s="99"/>
      <c r="C28" s="97" t="s">
        <v>20</v>
      </c>
      <c r="D28" s="98">
        <f>DATABANK!C71</f>
        <v>25.54</v>
      </c>
      <c r="E28" s="100" t="s">
        <v>27</v>
      </c>
      <c r="F28" s="110">
        <f>B28*D28</f>
        <v>0</v>
      </c>
      <c r="G28" s="110">
        <f t="shared" si="0"/>
        <v>0</v>
      </c>
      <c r="H28" s="154"/>
      <c r="I28" s="180"/>
      <c r="J28" s="76"/>
      <c r="K28" s="191"/>
      <c r="L28" s="76"/>
      <c r="M28" s="76"/>
      <c r="N28" s="76"/>
    </row>
    <row r="29" spans="1:20" ht="15.75" thickBot="1">
      <c r="A29" s="95" t="s">
        <v>141</v>
      </c>
      <c r="B29" s="99"/>
      <c r="C29" s="79" t="s">
        <v>21</v>
      </c>
      <c r="D29" s="98">
        <f>DATABANK!C59</f>
        <v>8939.6200000000008</v>
      </c>
      <c r="E29" s="80" t="s">
        <v>53</v>
      </c>
      <c r="F29" s="110">
        <f>B29*D29</f>
        <v>0</v>
      </c>
      <c r="G29" s="110">
        <f>ROUND(F29/12,2)</f>
        <v>0</v>
      </c>
      <c r="H29" s="154"/>
      <c r="I29" s="180"/>
      <c r="J29" s="76"/>
      <c r="K29" s="191"/>
      <c r="L29" s="76"/>
      <c r="M29" s="76"/>
      <c r="N29" s="76"/>
    </row>
    <row r="30" spans="1:20" ht="15.75" thickBot="1">
      <c r="A30" s="60" t="s">
        <v>10</v>
      </c>
      <c r="B30" s="101"/>
      <c r="C30" s="84" t="s">
        <v>20</v>
      </c>
      <c r="D30" s="102"/>
      <c r="E30" s="86"/>
      <c r="F30" s="111"/>
      <c r="G30" s="111"/>
      <c r="H30" s="154"/>
      <c r="I30" s="164"/>
      <c r="J30" s="164">
        <f>ROUNDDOWN(B30,0)</f>
        <v>0</v>
      </c>
      <c r="K30" s="192">
        <f>J30+(B30-J30)/60*100</f>
        <v>0</v>
      </c>
    </row>
    <row r="31" spans="1:20">
      <c r="A31" s="60" t="s">
        <v>127</v>
      </c>
      <c r="B31" s="134">
        <f>ROUND(MIN($E3/100*299,K30),2)</f>
        <v>0</v>
      </c>
      <c r="C31" s="84" t="s">
        <v>20</v>
      </c>
      <c r="D31" s="85">
        <v>0</v>
      </c>
      <c r="E31" s="83" t="s">
        <v>27</v>
      </c>
      <c r="F31" s="109">
        <v>0</v>
      </c>
      <c r="G31" s="109">
        <f t="shared" ref="G31:G43" si="1">ROUND(F31/12,2)</f>
        <v>0</v>
      </c>
      <c r="H31" s="154"/>
      <c r="I31" s="164"/>
    </row>
    <row r="32" spans="1:20">
      <c r="A32" s="60" t="s">
        <v>128</v>
      </c>
      <c r="B32" s="103">
        <f>IF(B30&gt;749.999,451,ROUNDUP(MAX(MIN(2*($K30-B31-B33),2*$E3/100*451),0),0)/2)</f>
        <v>0</v>
      </c>
      <c r="C32" s="84" t="s">
        <v>20</v>
      </c>
      <c r="D32" s="85">
        <f>IF(B$39=1,0,DATABANK!C76)</f>
        <v>34.6</v>
      </c>
      <c r="E32" s="83" t="s">
        <v>27</v>
      </c>
      <c r="F32" s="109">
        <f>ROUND(B32*D32,2)</f>
        <v>0</v>
      </c>
      <c r="G32" s="109">
        <f t="shared" si="1"/>
        <v>0</v>
      </c>
      <c r="H32" s="187"/>
      <c r="I32" s="164"/>
    </row>
    <row r="33" spans="1:11">
      <c r="A33" s="60" t="s">
        <v>129</v>
      </c>
      <c r="B33" s="103">
        <f>ROUNDUP(2*MAX($K30-$E3/100*750,0),0)/2</f>
        <v>0</v>
      </c>
      <c r="C33" s="84" t="s">
        <v>20</v>
      </c>
      <c r="D33" s="85">
        <f>IF(B$39=1,0,DATABANK!C78)</f>
        <v>107.34</v>
      </c>
      <c r="E33" s="83" t="s">
        <v>27</v>
      </c>
      <c r="F33" s="109">
        <f>ROUND(B33*D33,2)</f>
        <v>0</v>
      </c>
      <c r="G33" s="109">
        <f t="shared" si="1"/>
        <v>0</v>
      </c>
      <c r="H33" s="154"/>
      <c r="I33" s="164"/>
    </row>
    <row r="34" spans="1:11" ht="15.75" thickBot="1">
      <c r="A34" s="81" t="s">
        <v>98</v>
      </c>
      <c r="B34" s="133">
        <f>B39*ROUNDUP(2*MAX((K30-681),0),0)/2</f>
        <v>0</v>
      </c>
      <c r="C34" s="84" t="s">
        <v>20</v>
      </c>
      <c r="D34" s="85">
        <f>DATABANK!C85</f>
        <v>127.71</v>
      </c>
      <c r="E34" s="83" t="s">
        <v>27</v>
      </c>
      <c r="F34" s="109">
        <f>ROUND(B34*D34,2)</f>
        <v>0</v>
      </c>
      <c r="G34" s="109">
        <f t="shared" si="1"/>
        <v>0</v>
      </c>
      <c r="H34" s="154"/>
      <c r="I34" s="164"/>
    </row>
    <row r="35" spans="1:11" ht="15.75" thickBot="1">
      <c r="A35" s="60" t="s">
        <v>99</v>
      </c>
      <c r="B35" s="101"/>
      <c r="C35" s="84" t="s">
        <v>20</v>
      </c>
      <c r="D35" s="85">
        <f>IF(B39=1,0,DATABANK!C$86)</f>
        <v>9.26</v>
      </c>
      <c r="E35" s="83" t="s">
        <v>27</v>
      </c>
      <c r="F35" s="109">
        <f>ROUND(K35*D35,2)</f>
        <v>0</v>
      </c>
      <c r="G35" s="109">
        <f t="shared" si="1"/>
        <v>0</v>
      </c>
      <c r="H35" s="154"/>
      <c r="I35" s="164"/>
      <c r="J35" s="164">
        <f>ROUNDDOWN(B35,0)</f>
        <v>0</v>
      </c>
      <c r="K35" s="192">
        <f>J35+(B35-J35)/60*100</f>
        <v>0</v>
      </c>
    </row>
    <row r="36" spans="1:11" ht="15.75" thickBot="1">
      <c r="A36" s="81" t="s">
        <v>75</v>
      </c>
      <c r="B36" s="104"/>
      <c r="C36" s="84" t="s">
        <v>20</v>
      </c>
      <c r="D36" s="85">
        <f>IF(B39=1,0,DATABANK!C91)</f>
        <v>41.42</v>
      </c>
      <c r="E36" s="83" t="s">
        <v>27</v>
      </c>
      <c r="F36" s="109">
        <f t="shared" ref="F36:F42" si="2">ROUND(B36*D36,2)</f>
        <v>0</v>
      </c>
      <c r="G36" s="109">
        <f t="shared" si="1"/>
        <v>0</v>
      </c>
      <c r="H36" s="154"/>
      <c r="I36" s="164"/>
    </row>
    <row r="37" spans="1:11" ht="15.75" thickBot="1">
      <c r="A37" s="81" t="s">
        <v>78</v>
      </c>
      <c r="B37" s="104"/>
      <c r="C37" s="84" t="s">
        <v>20</v>
      </c>
      <c r="D37" s="85">
        <f>DATABANK!C93</f>
        <v>19.16</v>
      </c>
      <c r="E37" s="83" t="s">
        <v>27</v>
      </c>
      <c r="F37" s="109">
        <f t="shared" si="2"/>
        <v>0</v>
      </c>
      <c r="G37" s="109">
        <f t="shared" si="1"/>
        <v>0</v>
      </c>
      <c r="H37" s="154"/>
      <c r="I37" s="164"/>
    </row>
    <row r="38" spans="1:11" ht="15.75" thickBot="1">
      <c r="A38" s="81" t="s">
        <v>80</v>
      </c>
      <c r="B38" s="104"/>
      <c r="C38" s="84" t="s">
        <v>20</v>
      </c>
      <c r="D38" s="85">
        <f>DATABANK!C95</f>
        <v>33</v>
      </c>
      <c r="E38" s="83" t="s">
        <v>27</v>
      </c>
      <c r="F38" s="109">
        <f t="shared" si="2"/>
        <v>0</v>
      </c>
      <c r="G38" s="109">
        <f t="shared" si="1"/>
        <v>0</v>
      </c>
      <c r="H38" s="154"/>
      <c r="I38" s="164"/>
    </row>
    <row r="39" spans="1:11" ht="15.75" thickBot="1">
      <c r="A39" s="81" t="s">
        <v>137</v>
      </c>
      <c r="B39" s="135"/>
      <c r="C39" s="88" t="s">
        <v>21</v>
      </c>
      <c r="D39" s="85">
        <f>DATABANK!C75</f>
        <v>36141.620000000003</v>
      </c>
      <c r="E39" s="86" t="s">
        <v>52</v>
      </c>
      <c r="F39" s="109">
        <f>E3/100*ROUND(B39*D39,2)</f>
        <v>0</v>
      </c>
      <c r="G39" s="109">
        <f t="shared" si="1"/>
        <v>0</v>
      </c>
      <c r="H39" s="154"/>
      <c r="I39" s="164"/>
    </row>
    <row r="40" spans="1:11" ht="15.75" thickBot="1">
      <c r="A40" s="81" t="s">
        <v>153</v>
      </c>
      <c r="B40" s="135"/>
      <c r="C40" s="88" t="s">
        <v>21</v>
      </c>
      <c r="D40" s="85">
        <f>DATABANK!C102</f>
        <v>23753.86</v>
      </c>
      <c r="E40" s="86" t="s">
        <v>52</v>
      </c>
      <c r="F40" s="109">
        <f>E3/100*ROUND(B40*D40,2)</f>
        <v>0</v>
      </c>
      <c r="G40" s="109">
        <f t="shared" si="1"/>
        <v>0</v>
      </c>
      <c r="H40" s="154"/>
      <c r="I40" s="164"/>
    </row>
    <row r="41" spans="1:11" ht="15.75" thickBot="1">
      <c r="A41" s="81" t="s">
        <v>94</v>
      </c>
      <c r="B41" s="136">
        <f>B30*B40</f>
        <v>0</v>
      </c>
      <c r="C41" s="84" t="s">
        <v>20</v>
      </c>
      <c r="D41" s="85">
        <f>DATABANK!C90</f>
        <v>27.81</v>
      </c>
      <c r="E41" s="83" t="s">
        <v>27</v>
      </c>
      <c r="F41" s="109">
        <f t="shared" si="2"/>
        <v>0</v>
      </c>
      <c r="G41" s="109">
        <f t="shared" si="1"/>
        <v>0</v>
      </c>
      <c r="H41" s="154"/>
      <c r="I41" s="164"/>
    </row>
    <row r="42" spans="1:11" ht="15.75" thickBot="1">
      <c r="A42" s="60" t="s">
        <v>102</v>
      </c>
      <c r="B42" s="135"/>
      <c r="C42" s="88" t="s">
        <v>21</v>
      </c>
      <c r="D42" s="85">
        <f>DATABANK!C$103</f>
        <v>12770.89</v>
      </c>
      <c r="E42" s="83" t="s">
        <v>88</v>
      </c>
      <c r="F42" s="109">
        <f t="shared" si="2"/>
        <v>0</v>
      </c>
      <c r="G42" s="109">
        <f t="shared" si="1"/>
        <v>0</v>
      </c>
      <c r="H42" s="154"/>
      <c r="I42" s="164"/>
    </row>
    <row r="43" spans="1:11" ht="16.5" thickBot="1">
      <c r="A43" s="122" t="s">
        <v>6</v>
      </c>
      <c r="B43" s="123"/>
      <c r="C43" s="124"/>
      <c r="D43" s="125"/>
      <c r="E43" s="126"/>
      <c r="F43" s="106">
        <f>SUM(F4:F42)</f>
        <v>320078.98</v>
      </c>
      <c r="G43" s="106">
        <f t="shared" si="1"/>
        <v>26673.25</v>
      </c>
      <c r="H43" s="156">
        <f>SUM(H4:H42)</f>
        <v>0</v>
      </c>
      <c r="I43" s="181"/>
    </row>
    <row r="44" spans="1:11" ht="16.5" thickBot="1">
      <c r="A44" s="122" t="s">
        <v>120</v>
      </c>
      <c r="B44" s="142"/>
      <c r="C44" s="143"/>
      <c r="D44" s="144"/>
      <c r="E44" s="145"/>
      <c r="F44" s="188"/>
      <c r="G44" s="150">
        <f>H43-G43</f>
        <v>-26673.25</v>
      </c>
      <c r="H44" s="16"/>
    </row>
    <row r="45" spans="1:11">
      <c r="A45" s="152" t="s">
        <v>121</v>
      </c>
      <c r="B45" s="54"/>
      <c r="C45" s="47"/>
      <c r="D45" s="48"/>
      <c r="E45" s="49"/>
      <c r="H45" s="16"/>
    </row>
    <row r="46" spans="1:11">
      <c r="A46" s="313"/>
      <c r="B46" s="314"/>
      <c r="C46" s="314"/>
      <c r="D46" s="314"/>
      <c r="E46" s="314"/>
      <c r="F46" s="314"/>
      <c r="G46" s="314"/>
      <c r="H46" s="315"/>
    </row>
    <row r="47" spans="1:11">
      <c r="A47" s="316"/>
      <c r="B47" s="317"/>
      <c r="C47" s="317"/>
      <c r="D47" s="317"/>
      <c r="E47" s="317"/>
      <c r="F47" s="317"/>
      <c r="G47" s="317"/>
      <c r="H47" s="318"/>
    </row>
    <row r="48" spans="1:11">
      <c r="A48" s="316"/>
      <c r="B48" s="317"/>
      <c r="C48" s="317"/>
      <c r="D48" s="317"/>
      <c r="E48" s="317"/>
      <c r="F48" s="317"/>
      <c r="G48" s="317"/>
      <c r="H48" s="318"/>
    </row>
    <row r="49" spans="1:8">
      <c r="A49" s="316"/>
      <c r="B49" s="317"/>
      <c r="C49" s="317"/>
      <c r="D49" s="317"/>
      <c r="E49" s="317"/>
      <c r="F49" s="317"/>
      <c r="G49" s="317"/>
      <c r="H49" s="318"/>
    </row>
    <row r="50" spans="1:8">
      <c r="A50" s="316"/>
      <c r="B50" s="317"/>
      <c r="C50" s="317"/>
      <c r="D50" s="317"/>
      <c r="E50" s="317"/>
      <c r="F50" s="317"/>
      <c r="G50" s="317"/>
      <c r="H50" s="318"/>
    </row>
    <row r="51" spans="1:8">
      <c r="A51" s="319"/>
      <c r="B51" s="320"/>
      <c r="C51" s="320"/>
      <c r="D51" s="320"/>
      <c r="E51" s="320"/>
      <c r="F51" s="320"/>
      <c r="G51" s="320"/>
      <c r="H51" s="321"/>
    </row>
    <row r="52" spans="1:8">
      <c r="A52" s="60" t="s">
        <v>132</v>
      </c>
      <c r="B52" s="151"/>
      <c r="H52" s="16"/>
    </row>
  </sheetData>
  <mergeCells count="4">
    <mergeCell ref="F1:G1"/>
    <mergeCell ref="F2:G2"/>
    <mergeCell ref="H2:H3"/>
    <mergeCell ref="A46:H51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horizontalDpi="4294967293" r:id="rId1"/>
  <headerFooter alignWithMargins="0"/>
  <ignoredErrors>
    <ignoredError sqref="E3" unlockedFormula="1"/>
    <ignoredError sqref="F35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U48"/>
  <sheetViews>
    <sheetView zoomScaleNormal="100" workbookViewId="0"/>
  </sheetViews>
  <sheetFormatPr defaultRowHeight="15"/>
  <cols>
    <col min="1" max="1" width="18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7" width="10.77734375" style="16" customWidth="1"/>
    <col min="8" max="8" width="10.44140625" style="29" bestFit="1" customWidth="1"/>
    <col min="9" max="10" width="6.44140625" style="72" bestFit="1" customWidth="1"/>
    <col min="11" max="11" width="6.44140625" style="190" bestFit="1" customWidth="1"/>
    <col min="12" max="14" width="6.44140625" style="73" bestFit="1" customWidth="1"/>
    <col min="15" max="20" width="5.77734375" style="73" customWidth="1"/>
    <col min="21" max="21" width="6.44140625" style="73" bestFit="1" customWidth="1"/>
    <col min="22" max="16384" width="8.88671875" style="5"/>
  </cols>
  <sheetData>
    <row r="1" spans="1:20" ht="16.5" thickBot="1">
      <c r="A1" s="89" t="s">
        <v>28</v>
      </c>
      <c r="B1" s="197"/>
      <c r="C1" s="198"/>
      <c r="D1" s="198"/>
      <c r="E1" s="199"/>
      <c r="F1" s="308" t="s">
        <v>143</v>
      </c>
      <c r="G1" s="309"/>
      <c r="I1" s="164"/>
    </row>
    <row r="2" spans="1:20" ht="16.5" thickBot="1">
      <c r="A2" s="185" t="str">
        <f>IF(B5+B10+B14+B18&gt;1,"Snyd! - du skal kun skrive i 1 af de 4 felter for anciennitet",".")</f>
        <v>.</v>
      </c>
      <c r="B2" s="93"/>
      <c r="C2" s="93"/>
      <c r="D2" s="93"/>
      <c r="E2" s="93"/>
      <c r="F2" s="310" t="str">
        <f>DATABANK!B20</f>
        <v>1.4.2013</v>
      </c>
      <c r="G2" s="310"/>
      <c r="H2" s="311" t="s">
        <v>119</v>
      </c>
      <c r="I2" s="164"/>
    </row>
    <row r="3" spans="1:20" ht="15.75" thickBot="1">
      <c r="A3" s="60" t="s">
        <v>32</v>
      </c>
      <c r="B3" s="193">
        <v>37</v>
      </c>
      <c r="C3" s="81"/>
      <c r="D3" s="82" t="s">
        <v>26</v>
      </c>
      <c r="E3" s="182">
        <f>B3/0.37</f>
        <v>100</v>
      </c>
      <c r="F3" s="112" t="s">
        <v>31</v>
      </c>
      <c r="G3" s="112" t="s">
        <v>30</v>
      </c>
      <c r="H3" s="312"/>
      <c r="I3" s="164"/>
    </row>
    <row r="4" spans="1:20" ht="15.75" thickBot="1">
      <c r="A4" s="60" t="s">
        <v>22</v>
      </c>
      <c r="B4" s="94">
        <v>30</v>
      </c>
      <c r="C4" s="84"/>
      <c r="D4" s="85">
        <f>DATABANK!B30</f>
        <v>311087</v>
      </c>
      <c r="E4" s="86" t="s">
        <v>52</v>
      </c>
      <c r="F4" s="107">
        <f>ROUND($E$3/100*D4,2)</f>
        <v>311087</v>
      </c>
      <c r="G4" s="107">
        <f>ROUND(F4/12,2)</f>
        <v>25923.919999999998</v>
      </c>
      <c r="H4" s="153"/>
      <c r="I4" s="180"/>
      <c r="J4" s="76"/>
      <c r="K4" s="191"/>
      <c r="L4" s="76"/>
      <c r="M4" s="76"/>
      <c r="N4" s="76"/>
    </row>
    <row r="5" spans="1:20" ht="15.75" thickBot="1">
      <c r="A5" s="206" t="s">
        <v>83</v>
      </c>
      <c r="B5" s="87"/>
      <c r="C5" s="113" t="s">
        <v>21</v>
      </c>
      <c r="D5" s="114"/>
      <c r="E5" s="115"/>
      <c r="F5" s="107"/>
      <c r="G5" s="107"/>
      <c r="H5" s="153"/>
      <c r="I5" s="180"/>
      <c r="J5" s="76"/>
      <c r="K5" s="191"/>
      <c r="L5" s="76"/>
      <c r="M5" s="76"/>
      <c r="N5" s="76"/>
      <c r="O5" s="72"/>
      <c r="P5" s="72"/>
      <c r="Q5" s="72"/>
      <c r="R5" s="72"/>
      <c r="S5" s="72"/>
      <c r="T5" s="72"/>
    </row>
    <row r="6" spans="1:20">
      <c r="A6" s="128" t="s">
        <v>82</v>
      </c>
      <c r="B6" s="88"/>
      <c r="C6" s="88"/>
      <c r="D6" s="77">
        <f>DATABANK!C57</f>
        <v>3831.27</v>
      </c>
      <c r="E6" s="116" t="s">
        <v>52</v>
      </c>
      <c r="F6" s="107">
        <f>ROUND(B5*E$3/100*D6,2)</f>
        <v>0</v>
      </c>
      <c r="G6" s="107">
        <f t="shared" ref="G6:G28" si="0">ROUND(F6/12,2)</f>
        <v>0</v>
      </c>
      <c r="H6" s="153"/>
      <c r="I6" s="180"/>
      <c r="J6" s="76"/>
      <c r="K6" s="191"/>
      <c r="L6" s="76"/>
      <c r="M6" s="76"/>
      <c r="N6" s="76"/>
      <c r="O6" s="72"/>
      <c r="P6" s="72"/>
      <c r="Q6" s="72"/>
      <c r="R6" s="72"/>
      <c r="S6" s="72"/>
      <c r="T6" s="72"/>
    </row>
    <row r="7" spans="1:20">
      <c r="A7" s="129" t="s">
        <v>116</v>
      </c>
      <c r="B7" s="79"/>
      <c r="C7" s="79"/>
      <c r="D7" s="78">
        <f>(DATABANK!B33-DATABANK!B30)</f>
        <v>13450</v>
      </c>
      <c r="E7" s="117" t="s">
        <v>52</v>
      </c>
      <c r="F7" s="108">
        <f>ROUND(B5*E$3/100*D7,2)</f>
        <v>0</v>
      </c>
      <c r="G7" s="108">
        <f t="shared" si="0"/>
        <v>0</v>
      </c>
      <c r="H7" s="153"/>
      <c r="I7" s="180"/>
      <c r="J7" s="76"/>
      <c r="K7" s="191"/>
      <c r="L7" s="76"/>
      <c r="M7" s="76"/>
      <c r="N7" s="76"/>
      <c r="O7" s="72"/>
      <c r="P7" s="72"/>
      <c r="Q7" s="72"/>
      <c r="R7" s="72"/>
      <c r="S7" s="72"/>
      <c r="T7" s="72"/>
    </row>
    <row r="8" spans="1:20">
      <c r="A8" s="129" t="s">
        <v>90</v>
      </c>
      <c r="B8" s="79"/>
      <c r="C8" s="79"/>
      <c r="D8" s="78">
        <f>(DATABANK!B34-DATABANK!B33)</f>
        <v>4633</v>
      </c>
      <c r="E8" s="117" t="s">
        <v>52</v>
      </c>
      <c r="F8" s="108">
        <f>ROUND(B5*E$3/100*D8,2)</f>
        <v>0</v>
      </c>
      <c r="G8" s="108">
        <f t="shared" si="0"/>
        <v>0</v>
      </c>
      <c r="H8" s="153"/>
      <c r="I8" s="180"/>
      <c r="J8" s="76"/>
      <c r="K8" s="191"/>
      <c r="L8" s="76"/>
      <c r="M8" s="76"/>
      <c r="N8" s="76"/>
      <c r="O8" s="72"/>
      <c r="P8" s="72"/>
      <c r="Q8" s="72"/>
      <c r="R8" s="72"/>
      <c r="S8" s="72"/>
      <c r="T8" s="72"/>
    </row>
    <row r="9" spans="1:20" ht="16.5" thickBot="1">
      <c r="A9" s="130" t="s">
        <v>91</v>
      </c>
      <c r="B9" s="118"/>
      <c r="C9" s="118"/>
      <c r="D9" s="119">
        <f>(DATABANK!B36-DATABANK!B34)</f>
        <v>9476</v>
      </c>
      <c r="E9" s="120" t="s">
        <v>52</v>
      </c>
      <c r="F9" s="108">
        <f>ROUND(B5*E$3/100*D9,2)</f>
        <v>0</v>
      </c>
      <c r="G9" s="108">
        <f t="shared" si="0"/>
        <v>0</v>
      </c>
      <c r="H9" s="153"/>
      <c r="I9" s="180"/>
      <c r="J9" s="76"/>
      <c r="K9" s="191"/>
      <c r="L9" s="76"/>
      <c r="M9" s="76"/>
      <c r="N9" s="76"/>
    </row>
    <row r="10" spans="1:20" ht="15.75" thickBot="1">
      <c r="A10" s="206" t="s">
        <v>84</v>
      </c>
      <c r="B10" s="87"/>
      <c r="C10" s="113" t="s">
        <v>21</v>
      </c>
      <c r="D10" s="114">
        <f>(DATABANK!B34-DATABANK!B30)</f>
        <v>18083</v>
      </c>
      <c r="E10" s="115" t="s">
        <v>52</v>
      </c>
      <c r="F10" s="109">
        <f>ROUND(B10*E$3/100*D10,2)</f>
        <v>0</v>
      </c>
      <c r="G10" s="109">
        <f t="shared" si="0"/>
        <v>0</v>
      </c>
      <c r="H10" s="154"/>
      <c r="I10" s="180"/>
      <c r="J10" s="76"/>
      <c r="K10" s="191"/>
      <c r="L10" s="76"/>
      <c r="M10" s="76"/>
      <c r="N10" s="76"/>
      <c r="O10" s="72"/>
      <c r="P10" s="72"/>
      <c r="Q10" s="72"/>
      <c r="R10" s="72"/>
      <c r="S10" s="72"/>
      <c r="T10" s="72"/>
    </row>
    <row r="11" spans="1:20">
      <c r="A11" s="128" t="s">
        <v>82</v>
      </c>
      <c r="B11" s="88"/>
      <c r="C11" s="88"/>
      <c r="D11" s="77">
        <f>DATABANK!C57</f>
        <v>3831.27</v>
      </c>
      <c r="E11" s="116" t="s">
        <v>52</v>
      </c>
      <c r="F11" s="107">
        <f>ROUND(B10*E$3/100*D11,2)</f>
        <v>0</v>
      </c>
      <c r="G11" s="107">
        <f t="shared" si="0"/>
        <v>0</v>
      </c>
      <c r="H11" s="153"/>
      <c r="I11" s="180"/>
      <c r="J11" s="76"/>
      <c r="K11" s="191"/>
      <c r="L11" s="76"/>
      <c r="M11" s="76"/>
      <c r="N11" s="76"/>
      <c r="O11" s="72"/>
      <c r="P11" s="72"/>
      <c r="Q11" s="72"/>
      <c r="R11" s="72"/>
      <c r="S11" s="72"/>
      <c r="T11" s="72"/>
    </row>
    <row r="12" spans="1:20">
      <c r="A12" s="129" t="s">
        <v>116</v>
      </c>
      <c r="B12" s="79"/>
      <c r="C12" s="79"/>
      <c r="D12" s="78">
        <f>(DATABANK!B37-DATABANK!B34)</f>
        <v>14325</v>
      </c>
      <c r="E12" s="117" t="s">
        <v>52</v>
      </c>
      <c r="F12" s="108">
        <f>ROUND(B10*E$3/100*D12,2)</f>
        <v>0</v>
      </c>
      <c r="G12" s="108">
        <f t="shared" si="0"/>
        <v>0</v>
      </c>
      <c r="H12" s="153"/>
      <c r="I12" s="180"/>
      <c r="J12" s="76"/>
      <c r="K12" s="191"/>
      <c r="L12" s="76"/>
      <c r="M12" s="76"/>
      <c r="N12" s="76"/>
      <c r="O12" s="72"/>
      <c r="P12" s="72"/>
      <c r="Q12" s="72"/>
      <c r="R12" s="72"/>
      <c r="S12" s="72"/>
      <c r="T12" s="72"/>
    </row>
    <row r="13" spans="1:20" ht="15.75" thickBot="1">
      <c r="A13" s="130" t="s">
        <v>117</v>
      </c>
      <c r="B13" s="121"/>
      <c r="C13" s="121"/>
      <c r="D13" s="119">
        <f>(DATABANK!B38-DATABANK!B37)</f>
        <v>5241</v>
      </c>
      <c r="E13" s="120" t="s">
        <v>52</v>
      </c>
      <c r="F13" s="108">
        <f>ROUND(B10*E$3/100*D13,2)</f>
        <v>0</v>
      </c>
      <c r="G13" s="108">
        <f t="shared" si="0"/>
        <v>0</v>
      </c>
      <c r="H13" s="153"/>
      <c r="I13" s="180"/>
      <c r="J13" s="76"/>
      <c r="K13" s="191"/>
      <c r="L13" s="76"/>
      <c r="M13" s="76"/>
      <c r="N13" s="76"/>
      <c r="O13" s="72"/>
      <c r="P13" s="72"/>
      <c r="Q13" s="72"/>
      <c r="R13" s="72"/>
      <c r="S13" s="72"/>
      <c r="T13" s="72"/>
    </row>
    <row r="14" spans="1:20" ht="15.75" thickBot="1">
      <c r="A14" s="206" t="s">
        <v>85</v>
      </c>
      <c r="B14" s="87"/>
      <c r="C14" s="113" t="s">
        <v>21</v>
      </c>
      <c r="D14" s="114">
        <f>(DATABANK!B$39-DATABANK!B$30)</f>
        <v>42751</v>
      </c>
      <c r="E14" s="115" t="s">
        <v>52</v>
      </c>
      <c r="F14" s="109">
        <f>ROUND(B14*E$3/100*D14,2)</f>
        <v>0</v>
      </c>
      <c r="G14" s="109">
        <f t="shared" si="0"/>
        <v>0</v>
      </c>
      <c r="H14" s="154"/>
      <c r="I14" s="180"/>
      <c r="J14" s="76"/>
      <c r="K14" s="191"/>
      <c r="L14" s="76"/>
      <c r="M14" s="76"/>
      <c r="N14" s="76"/>
      <c r="O14" s="72"/>
      <c r="P14" s="72"/>
      <c r="Q14" s="72"/>
      <c r="R14" s="72"/>
      <c r="S14" s="72"/>
      <c r="T14" s="72"/>
    </row>
    <row r="15" spans="1:20">
      <c r="A15" s="128" t="s">
        <v>82</v>
      </c>
      <c r="B15" s="88"/>
      <c r="C15" s="88"/>
      <c r="D15" s="77">
        <v>0</v>
      </c>
      <c r="E15" s="116" t="s">
        <v>52</v>
      </c>
      <c r="F15" s="107">
        <f>ROUND(B14*E$3/100*D15,2)</f>
        <v>0</v>
      </c>
      <c r="G15" s="107">
        <f t="shared" si="0"/>
        <v>0</v>
      </c>
      <c r="H15" s="153"/>
      <c r="I15" s="180"/>
      <c r="J15" s="76"/>
      <c r="K15" s="191"/>
      <c r="L15" s="76"/>
      <c r="M15" s="76"/>
      <c r="N15" s="76"/>
      <c r="O15" s="72"/>
      <c r="P15" s="72"/>
      <c r="Q15" s="72"/>
      <c r="R15" s="72"/>
      <c r="S15" s="72"/>
      <c r="T15" s="72"/>
    </row>
    <row r="16" spans="1:20">
      <c r="A16" s="129" t="s">
        <v>116</v>
      </c>
      <c r="B16" s="79"/>
      <c r="C16" s="79"/>
      <c r="D16" s="78">
        <f>(DATABANK!B42-DATABANK!B39)</f>
        <v>15775</v>
      </c>
      <c r="E16" s="117" t="s">
        <v>52</v>
      </c>
      <c r="F16" s="108">
        <f>ROUND(B14*E$3/100*D16,2)</f>
        <v>0</v>
      </c>
      <c r="G16" s="108">
        <f t="shared" si="0"/>
        <v>0</v>
      </c>
      <c r="H16" s="153"/>
      <c r="I16" s="180"/>
      <c r="J16" s="76"/>
      <c r="K16" s="191"/>
      <c r="L16" s="76"/>
      <c r="M16" s="76"/>
      <c r="N16" s="76"/>
      <c r="O16" s="72"/>
      <c r="P16" s="72"/>
      <c r="Q16" s="72"/>
      <c r="R16" s="72"/>
      <c r="S16" s="72"/>
      <c r="T16" s="72"/>
    </row>
    <row r="17" spans="1:20" ht="15.75" thickBot="1">
      <c r="A17" s="130" t="s">
        <v>117</v>
      </c>
      <c r="B17" s="121"/>
      <c r="C17" s="121"/>
      <c r="D17" s="119">
        <f>(DATABANK!B43-DATABANK!B42)</f>
        <v>8214</v>
      </c>
      <c r="E17" s="120" t="s">
        <v>52</v>
      </c>
      <c r="F17" s="108">
        <f>ROUND(B14*E$3/100*D17,2)</f>
        <v>0</v>
      </c>
      <c r="G17" s="108">
        <f t="shared" si="0"/>
        <v>0</v>
      </c>
      <c r="H17" s="153"/>
      <c r="I17" s="180"/>
      <c r="J17" s="76"/>
      <c r="K17" s="191"/>
      <c r="L17" s="76"/>
      <c r="M17" s="76"/>
      <c r="N17" s="76"/>
    </row>
    <row r="18" spans="1:20" ht="15.75" thickBot="1">
      <c r="A18" s="206" t="s">
        <v>89</v>
      </c>
      <c r="B18" s="87"/>
      <c r="C18" s="113" t="s">
        <v>21</v>
      </c>
      <c r="D18" s="114">
        <f>D14</f>
        <v>42751</v>
      </c>
      <c r="E18" s="115" t="s">
        <v>52</v>
      </c>
      <c r="F18" s="109">
        <f>ROUND(B18*E$3/100*D18,2)</f>
        <v>0</v>
      </c>
      <c r="G18" s="109">
        <f t="shared" si="0"/>
        <v>0</v>
      </c>
      <c r="H18" s="154"/>
      <c r="I18" s="180"/>
      <c r="J18" s="76"/>
      <c r="K18" s="191"/>
      <c r="L18" s="76"/>
      <c r="M18" s="76"/>
      <c r="N18" s="76"/>
      <c r="O18" s="72"/>
      <c r="P18" s="72"/>
      <c r="Q18" s="72"/>
      <c r="R18" s="72"/>
      <c r="S18" s="72"/>
      <c r="T18" s="72"/>
    </row>
    <row r="19" spans="1:20">
      <c r="A19" s="128" t="s">
        <v>82</v>
      </c>
      <c r="B19" s="88"/>
      <c r="C19" s="88"/>
      <c r="D19" s="77">
        <f>DATABANK!C57</f>
        <v>3831.27</v>
      </c>
      <c r="E19" s="116" t="s">
        <v>52</v>
      </c>
      <c r="F19" s="107">
        <f>ROUND(B18*E$3/100*D19,2)</f>
        <v>0</v>
      </c>
      <c r="G19" s="107">
        <f>ROUND(F19/12,2)</f>
        <v>0</v>
      </c>
      <c r="H19" s="153"/>
      <c r="I19" s="180"/>
      <c r="J19" s="76"/>
      <c r="K19" s="191"/>
      <c r="L19" s="76"/>
      <c r="M19" s="76"/>
      <c r="N19" s="76"/>
    </row>
    <row r="20" spans="1:20">
      <c r="A20" s="128" t="s">
        <v>82</v>
      </c>
      <c r="B20" s="88"/>
      <c r="C20" s="88"/>
      <c r="D20" s="77">
        <f>DATABANK!C60-D19</f>
        <v>8939.619999999999</v>
      </c>
      <c r="E20" s="116" t="s">
        <v>52</v>
      </c>
      <c r="F20" s="107">
        <f>ROUND(B18*E$3/100*D20,2)</f>
        <v>0</v>
      </c>
      <c r="G20" s="107">
        <f t="shared" si="0"/>
        <v>0</v>
      </c>
      <c r="H20" s="153"/>
      <c r="I20" s="180"/>
      <c r="J20" s="76"/>
      <c r="K20" s="191"/>
      <c r="L20" s="76"/>
      <c r="M20" s="76"/>
      <c r="N20" s="76"/>
    </row>
    <row r="21" spans="1:20">
      <c r="A21" s="129" t="s">
        <v>116</v>
      </c>
      <c r="B21" s="79"/>
      <c r="C21" s="79"/>
      <c r="D21" s="78">
        <f>D16</f>
        <v>15775</v>
      </c>
      <c r="E21" s="117" t="s">
        <v>52</v>
      </c>
      <c r="F21" s="108">
        <f>ROUND(B18*E$3/100*D21,2)</f>
        <v>0</v>
      </c>
      <c r="G21" s="108">
        <f t="shared" si="0"/>
        <v>0</v>
      </c>
      <c r="H21" s="153"/>
      <c r="I21" s="180"/>
      <c r="J21" s="76"/>
      <c r="K21" s="191"/>
      <c r="L21" s="76"/>
      <c r="M21" s="76"/>
      <c r="N21" s="76"/>
    </row>
    <row r="22" spans="1:20" ht="15.75" thickBot="1">
      <c r="A22" s="130" t="s">
        <v>117</v>
      </c>
      <c r="B22" s="121"/>
      <c r="C22" s="121"/>
      <c r="D22" s="119">
        <f>D17</f>
        <v>8214</v>
      </c>
      <c r="E22" s="120" t="s">
        <v>52</v>
      </c>
      <c r="F22" s="108">
        <f>ROUND(B18*E$3/100*D22,2)</f>
        <v>0</v>
      </c>
      <c r="G22" s="108">
        <f t="shared" si="0"/>
        <v>0</v>
      </c>
      <c r="H22" s="153"/>
      <c r="I22" s="180"/>
      <c r="J22" s="76"/>
      <c r="K22" s="191"/>
      <c r="L22" s="76"/>
      <c r="M22" s="76"/>
      <c r="N22" s="76"/>
    </row>
    <row r="23" spans="1:20" ht="15.75" thickBot="1">
      <c r="A23" s="95" t="s">
        <v>105</v>
      </c>
      <c r="B23" s="96"/>
      <c r="C23" s="97"/>
      <c r="D23" s="98">
        <f>DATABANK!C63</f>
        <v>10892.29</v>
      </c>
      <c r="E23" s="80" t="s">
        <v>53</v>
      </c>
      <c r="F23" s="110">
        <f>D23</f>
        <v>10892.29</v>
      </c>
      <c r="G23" s="110">
        <f t="shared" si="0"/>
        <v>907.69</v>
      </c>
      <c r="H23" s="154"/>
      <c r="I23" s="180"/>
      <c r="J23" s="76"/>
      <c r="K23" s="191"/>
      <c r="L23" s="76"/>
      <c r="M23" s="76"/>
      <c r="N23" s="76"/>
    </row>
    <row r="24" spans="1:20" ht="15.75" thickBot="1">
      <c r="A24" s="95" t="s">
        <v>140</v>
      </c>
      <c r="B24" s="137"/>
      <c r="C24" s="79" t="s">
        <v>21</v>
      </c>
      <c r="D24" s="98">
        <f>DATABANK!C67</f>
        <v>9195.0400000000009</v>
      </c>
      <c r="E24" s="80" t="s">
        <v>53</v>
      </c>
      <c r="F24" s="110">
        <f>D24*B24</f>
        <v>0</v>
      </c>
      <c r="G24" s="110">
        <f t="shared" si="0"/>
        <v>0</v>
      </c>
      <c r="H24" s="154"/>
      <c r="I24" s="180"/>
      <c r="J24" s="76"/>
      <c r="K24" s="191"/>
      <c r="L24" s="76"/>
      <c r="M24" s="76"/>
      <c r="N24" s="76"/>
    </row>
    <row r="25" spans="1:20" ht="15.75" thickBot="1">
      <c r="A25" s="95" t="s">
        <v>139</v>
      </c>
      <c r="B25" s="138"/>
      <c r="C25" s="79" t="s">
        <v>21</v>
      </c>
      <c r="D25" s="98">
        <f>DATABANK!C68</f>
        <v>5250.57</v>
      </c>
      <c r="E25" s="80" t="s">
        <v>53</v>
      </c>
      <c r="F25" s="110">
        <f>D25*B25</f>
        <v>0</v>
      </c>
      <c r="G25" s="110">
        <f t="shared" si="0"/>
        <v>0</v>
      </c>
      <c r="H25" s="154"/>
      <c r="I25" s="180"/>
      <c r="J25" s="76"/>
      <c r="K25" s="191"/>
      <c r="L25" s="76"/>
      <c r="M25" s="76"/>
      <c r="N25" s="76"/>
    </row>
    <row r="26" spans="1:20" ht="15.75" thickBot="1">
      <c r="A26" s="95" t="s">
        <v>100</v>
      </c>
      <c r="B26" s="138"/>
      <c r="C26" s="79" t="s">
        <v>21</v>
      </c>
      <c r="D26" s="78">
        <f>DATABANK!C69</f>
        <v>33715.15</v>
      </c>
      <c r="E26" s="80" t="s">
        <v>52</v>
      </c>
      <c r="F26" s="110">
        <f>D26*B26</f>
        <v>0</v>
      </c>
      <c r="G26" s="110">
        <f t="shared" si="0"/>
        <v>0</v>
      </c>
      <c r="H26" s="154"/>
      <c r="I26" s="180"/>
      <c r="J26" s="76"/>
      <c r="K26" s="191"/>
      <c r="L26" s="76"/>
      <c r="M26" s="76"/>
      <c r="N26" s="76"/>
    </row>
    <row r="27" spans="1:20" ht="15.75" thickBot="1">
      <c r="A27" s="95" t="s">
        <v>101</v>
      </c>
      <c r="B27" s="99"/>
      <c r="C27" s="97" t="s">
        <v>20</v>
      </c>
      <c r="D27" s="98">
        <f>DATABANK!C70</f>
        <v>54.91</v>
      </c>
      <c r="E27" s="100" t="s">
        <v>27</v>
      </c>
      <c r="F27" s="110">
        <f>B27*D27</f>
        <v>0</v>
      </c>
      <c r="G27" s="110">
        <f t="shared" si="0"/>
        <v>0</v>
      </c>
      <c r="H27" s="154"/>
      <c r="I27" s="180"/>
      <c r="J27" s="76"/>
      <c r="K27" s="191"/>
      <c r="L27" s="76"/>
      <c r="M27" s="76"/>
      <c r="N27" s="76"/>
    </row>
    <row r="28" spans="1:20" ht="15.75" thickBot="1">
      <c r="A28" s="95" t="s">
        <v>103</v>
      </c>
      <c r="B28" s="99"/>
      <c r="C28" s="97" t="s">
        <v>20</v>
      </c>
      <c r="D28" s="98">
        <f>DATABANK!C71</f>
        <v>25.54</v>
      </c>
      <c r="E28" s="100" t="s">
        <v>27</v>
      </c>
      <c r="F28" s="110">
        <f>B28*D28</f>
        <v>0</v>
      </c>
      <c r="G28" s="110">
        <f t="shared" si="0"/>
        <v>0</v>
      </c>
      <c r="H28" s="154"/>
      <c r="I28" s="180"/>
      <c r="J28" s="76"/>
      <c r="K28" s="191"/>
      <c r="L28" s="76"/>
      <c r="M28" s="76"/>
      <c r="N28" s="76"/>
    </row>
    <row r="29" spans="1:20" ht="15.75" thickBot="1">
      <c r="A29" s="95" t="s">
        <v>141</v>
      </c>
      <c r="B29" s="99"/>
      <c r="C29" s="79" t="s">
        <v>21</v>
      </c>
      <c r="D29" s="98">
        <f>DATABANK!C59</f>
        <v>8939.6200000000008</v>
      </c>
      <c r="E29" s="80" t="s">
        <v>53</v>
      </c>
      <c r="F29" s="110">
        <f>B29*D29</f>
        <v>0</v>
      </c>
      <c r="G29" s="110">
        <f>ROUND(F29/12,2)</f>
        <v>0</v>
      </c>
      <c r="H29" s="154"/>
      <c r="I29" s="180"/>
      <c r="J29" s="76"/>
      <c r="K29" s="191"/>
      <c r="L29" s="76"/>
      <c r="M29" s="76"/>
      <c r="N29" s="76"/>
    </row>
    <row r="30" spans="1:20" ht="15.75" thickBot="1">
      <c r="A30" s="60" t="s">
        <v>10</v>
      </c>
      <c r="B30" s="101"/>
      <c r="C30" s="84" t="s">
        <v>20</v>
      </c>
      <c r="D30" s="102"/>
      <c r="E30" s="86"/>
      <c r="F30" s="111"/>
      <c r="G30" s="111"/>
      <c r="H30" s="154"/>
      <c r="I30" s="164"/>
      <c r="J30" s="164">
        <f>ROUNDDOWN(B30,0)</f>
        <v>0</v>
      </c>
      <c r="K30" s="192">
        <f>J30+(B30-J30)/60*100</f>
        <v>0</v>
      </c>
    </row>
    <row r="31" spans="1:20">
      <c r="A31" s="60" t="s">
        <v>127</v>
      </c>
      <c r="B31" s="134">
        <f>ROUND(MIN($E3/100*299,K30),2)</f>
        <v>0</v>
      </c>
      <c r="C31" s="84" t="s">
        <v>20</v>
      </c>
      <c r="D31" s="85">
        <v>0</v>
      </c>
      <c r="E31" s="83" t="s">
        <v>27</v>
      </c>
      <c r="F31" s="109">
        <v>0</v>
      </c>
      <c r="G31" s="109">
        <f t="shared" ref="G31:G39" si="1">ROUND(F31/12,2)</f>
        <v>0</v>
      </c>
      <c r="H31" s="154"/>
      <c r="I31" s="164"/>
    </row>
    <row r="32" spans="1:20">
      <c r="A32" s="60" t="s">
        <v>128</v>
      </c>
      <c r="B32" s="103">
        <f>IF(B30&gt;749.999,451,ROUNDUP(MAX(MIN(2*($K30-B31-B33),2*$E3/100*451),0),0)/2)</f>
        <v>0</v>
      </c>
      <c r="C32" s="84" t="s">
        <v>20</v>
      </c>
      <c r="D32" s="85">
        <f>DATABANK!C77</f>
        <v>39.869999999999997</v>
      </c>
      <c r="E32" s="83" t="s">
        <v>27</v>
      </c>
      <c r="F32" s="109">
        <f>ROUND(B32*D32,2)</f>
        <v>0</v>
      </c>
      <c r="G32" s="109">
        <f t="shared" si="1"/>
        <v>0</v>
      </c>
      <c r="H32" s="187"/>
      <c r="I32" s="164"/>
    </row>
    <row r="33" spans="1:11">
      <c r="A33" s="60" t="s">
        <v>129</v>
      </c>
      <c r="B33" s="103">
        <f>ROUNDUP(2*MAX($K30-$E3/100*750,0),0)/2</f>
        <v>0</v>
      </c>
      <c r="C33" s="84" t="s">
        <v>20</v>
      </c>
      <c r="D33" s="85">
        <f>DATABANK!C78</f>
        <v>107.34</v>
      </c>
      <c r="E33" s="83" t="s">
        <v>27</v>
      </c>
      <c r="F33" s="109">
        <f>ROUND(B33*D33,2)</f>
        <v>0</v>
      </c>
      <c r="G33" s="109">
        <f t="shared" si="1"/>
        <v>0</v>
      </c>
      <c r="H33" s="154"/>
      <c r="I33" s="164"/>
    </row>
    <row r="34" spans="1:11" ht="15.75" thickBot="1">
      <c r="A34" s="60" t="s">
        <v>99</v>
      </c>
      <c r="B34" s="103"/>
      <c r="C34" s="84" t="s">
        <v>20</v>
      </c>
      <c r="D34" s="85">
        <f>DATABANK!C87</f>
        <v>0</v>
      </c>
      <c r="E34" s="83" t="s">
        <v>27</v>
      </c>
      <c r="F34" s="109">
        <v>0</v>
      </c>
      <c r="G34" s="109">
        <f t="shared" si="1"/>
        <v>0</v>
      </c>
      <c r="H34" s="154"/>
      <c r="I34" s="164"/>
      <c r="J34" s="164">
        <f>ROUNDDOWN(B34,0)</f>
        <v>0</v>
      </c>
      <c r="K34" s="192">
        <f>J34+(B34-J34)/60*100</f>
        <v>0</v>
      </c>
    </row>
    <row r="35" spans="1:11" ht="15.75" thickBot="1">
      <c r="A35" s="81" t="s">
        <v>75</v>
      </c>
      <c r="B35" s="104"/>
      <c r="C35" s="84" t="s">
        <v>20</v>
      </c>
      <c r="D35" s="85">
        <f>DATABANK!C92</f>
        <v>45.99</v>
      </c>
      <c r="E35" s="83" t="s">
        <v>27</v>
      </c>
      <c r="F35" s="109">
        <f t="shared" ref="F35:F38" si="2">ROUND(B35*D35,2)</f>
        <v>0</v>
      </c>
      <c r="G35" s="109">
        <f t="shared" si="1"/>
        <v>0</v>
      </c>
      <c r="H35" s="154"/>
      <c r="I35" s="164"/>
    </row>
    <row r="36" spans="1:11" ht="15.75" thickBot="1">
      <c r="A36" s="81" t="s">
        <v>78</v>
      </c>
      <c r="B36" s="104"/>
      <c r="C36" s="84" t="s">
        <v>20</v>
      </c>
      <c r="D36" s="85">
        <f>DATABANK!C94</f>
        <v>22.81</v>
      </c>
      <c r="E36" s="83" t="s">
        <v>27</v>
      </c>
      <c r="F36" s="109">
        <f t="shared" si="2"/>
        <v>0</v>
      </c>
      <c r="G36" s="109">
        <f t="shared" si="1"/>
        <v>0</v>
      </c>
      <c r="H36" s="154"/>
      <c r="I36" s="164"/>
    </row>
    <row r="37" spans="1:11" ht="15.75" thickBot="1">
      <c r="A37" s="81" t="s">
        <v>80</v>
      </c>
      <c r="B37" s="104"/>
      <c r="C37" s="84" t="s">
        <v>20</v>
      </c>
      <c r="D37" s="85">
        <f>DATABANK!C96</f>
        <v>36.65</v>
      </c>
      <c r="E37" s="83" t="s">
        <v>27</v>
      </c>
      <c r="F37" s="109">
        <f t="shared" si="2"/>
        <v>0</v>
      </c>
      <c r="G37" s="109">
        <f t="shared" si="1"/>
        <v>0</v>
      </c>
      <c r="H37" s="154"/>
      <c r="I37" s="164"/>
    </row>
    <row r="38" spans="1:11" ht="15.75" thickBot="1">
      <c r="A38" s="60" t="s">
        <v>102</v>
      </c>
      <c r="B38" s="135"/>
      <c r="C38" s="88" t="s">
        <v>21</v>
      </c>
      <c r="D38" s="85">
        <f>DATABANK!C$103</f>
        <v>12770.89</v>
      </c>
      <c r="E38" s="83" t="s">
        <v>88</v>
      </c>
      <c r="F38" s="109">
        <f t="shared" si="2"/>
        <v>0</v>
      </c>
      <c r="G38" s="109">
        <f t="shared" si="1"/>
        <v>0</v>
      </c>
      <c r="H38" s="154"/>
      <c r="I38" s="164"/>
    </row>
    <row r="39" spans="1:11" ht="16.5" thickBot="1">
      <c r="A39" s="122" t="s">
        <v>6</v>
      </c>
      <c r="B39" s="123"/>
      <c r="C39" s="124"/>
      <c r="D39" s="125"/>
      <c r="E39" s="126"/>
      <c r="F39" s="106">
        <f>SUM(F4:F38)</f>
        <v>321979.28999999998</v>
      </c>
      <c r="G39" s="106">
        <f t="shared" si="1"/>
        <v>26831.61</v>
      </c>
      <c r="H39" s="156">
        <f>SUM(H4:H38)</f>
        <v>0</v>
      </c>
      <c r="I39" s="181"/>
    </row>
    <row r="40" spans="1:11" ht="16.5" thickBot="1">
      <c r="A40" s="122" t="s">
        <v>120</v>
      </c>
      <c r="B40" s="142"/>
      <c r="C40" s="143"/>
      <c r="D40" s="144"/>
      <c r="E40" s="145"/>
      <c r="F40" s="188"/>
      <c r="G40" s="150">
        <f>H39-G39</f>
        <v>-26831.61</v>
      </c>
      <c r="H40" s="16"/>
    </row>
    <row r="41" spans="1:11">
      <c r="A41" s="152" t="s">
        <v>121</v>
      </c>
      <c r="B41" s="54"/>
      <c r="C41" s="47"/>
      <c r="D41" s="48"/>
      <c r="E41" s="49"/>
      <c r="H41" s="16"/>
    </row>
    <row r="42" spans="1:11">
      <c r="A42" s="313"/>
      <c r="B42" s="314"/>
      <c r="C42" s="314"/>
      <c r="D42" s="314"/>
      <c r="E42" s="314"/>
      <c r="F42" s="314"/>
      <c r="G42" s="314"/>
      <c r="H42" s="315"/>
    </row>
    <row r="43" spans="1:11">
      <c r="A43" s="316"/>
      <c r="B43" s="317"/>
      <c r="C43" s="317"/>
      <c r="D43" s="317"/>
      <c r="E43" s="317"/>
      <c r="F43" s="317"/>
      <c r="G43" s="317"/>
      <c r="H43" s="318"/>
    </row>
    <row r="44" spans="1:11">
      <c r="A44" s="316"/>
      <c r="B44" s="317"/>
      <c r="C44" s="317"/>
      <c r="D44" s="317"/>
      <c r="E44" s="317"/>
      <c r="F44" s="317"/>
      <c r="G44" s="317"/>
      <c r="H44" s="318"/>
    </row>
    <row r="45" spans="1:11">
      <c r="A45" s="316"/>
      <c r="B45" s="317"/>
      <c r="C45" s="317"/>
      <c r="D45" s="317"/>
      <c r="E45" s="317"/>
      <c r="F45" s="317"/>
      <c r="G45" s="317"/>
      <c r="H45" s="318"/>
    </row>
    <row r="46" spans="1:11">
      <c r="A46" s="316"/>
      <c r="B46" s="317"/>
      <c r="C46" s="317"/>
      <c r="D46" s="317"/>
      <c r="E46" s="317"/>
      <c r="F46" s="317"/>
      <c r="G46" s="317"/>
      <c r="H46" s="318"/>
    </row>
    <row r="47" spans="1:11">
      <c r="A47" s="319"/>
      <c r="B47" s="320"/>
      <c r="C47" s="320"/>
      <c r="D47" s="320"/>
      <c r="E47" s="320"/>
      <c r="F47" s="320"/>
      <c r="G47" s="320"/>
      <c r="H47" s="321"/>
    </row>
    <row r="48" spans="1:11">
      <c r="A48" s="60" t="s">
        <v>132</v>
      </c>
      <c r="B48" s="151"/>
      <c r="H48" s="16"/>
    </row>
  </sheetData>
  <mergeCells count="4">
    <mergeCell ref="F1:G1"/>
    <mergeCell ref="F2:G2"/>
    <mergeCell ref="H2:H3"/>
    <mergeCell ref="A42:H47"/>
  </mergeCells>
  <pageMargins left="0.7" right="0.7" top="0.75" bottom="0.75" header="0.3" footer="0.3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tabColor indexed="10"/>
    <pageSetUpPr fitToPage="1"/>
  </sheetPr>
  <dimension ref="A1:V38"/>
  <sheetViews>
    <sheetView zoomScaleNormal="100" workbookViewId="0"/>
  </sheetViews>
  <sheetFormatPr defaultRowHeight="15"/>
  <cols>
    <col min="1" max="1" width="18.109375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16" customWidth="1"/>
    <col min="9" max="9" width="8" style="29" customWidth="1"/>
    <col min="10" max="10" width="5.77734375" style="72" customWidth="1"/>
    <col min="11" max="11" width="6.44140625" style="72" bestFit="1" customWidth="1"/>
    <col min="12" max="12" width="5.77734375" style="75" customWidth="1"/>
    <col min="13" max="15" width="6.44140625" style="73" bestFit="1" customWidth="1"/>
    <col min="16" max="21" width="5.77734375" style="73" customWidth="1"/>
    <col min="22" max="22" width="6.44140625" style="73" bestFit="1" customWidth="1"/>
    <col min="23" max="16384" width="8.88671875" style="5"/>
  </cols>
  <sheetData>
    <row r="1" spans="1:21" ht="16.5" thickBot="1">
      <c r="A1" s="89" t="s">
        <v>28</v>
      </c>
      <c r="B1" s="326"/>
      <c r="C1" s="327"/>
      <c r="D1" s="327"/>
      <c r="E1" s="328"/>
      <c r="F1" s="308" t="s">
        <v>95</v>
      </c>
      <c r="G1" s="325"/>
      <c r="H1" s="131"/>
    </row>
    <row r="2" spans="1:21" ht="15.75" customHeight="1" thickBot="1">
      <c r="A2" s="60"/>
      <c r="B2" s="93"/>
      <c r="C2" s="93"/>
      <c r="D2" s="93"/>
      <c r="E2" s="93"/>
      <c r="F2" s="310" t="str">
        <f>DATABANK!B20</f>
        <v>1.4.2013</v>
      </c>
      <c r="G2" s="310"/>
      <c r="H2" s="329" t="s">
        <v>119</v>
      </c>
      <c r="I2" s="322" t="s">
        <v>130</v>
      </c>
    </row>
    <row r="3" spans="1:21" ht="15" customHeight="1" thickBot="1">
      <c r="A3" s="60" t="s">
        <v>32</v>
      </c>
      <c r="B3" s="183">
        <v>37</v>
      </c>
      <c r="C3" s="81"/>
      <c r="D3" s="184" t="s">
        <v>26</v>
      </c>
      <c r="E3" s="182">
        <f>B3/0.37</f>
        <v>100</v>
      </c>
      <c r="F3" s="112" t="s">
        <v>31</v>
      </c>
      <c r="G3" s="141" t="s">
        <v>30</v>
      </c>
      <c r="H3" s="330"/>
      <c r="I3" s="324"/>
    </row>
    <row r="4" spans="1:21">
      <c r="A4" s="60" t="s">
        <v>22</v>
      </c>
      <c r="B4" s="94">
        <v>42</v>
      </c>
      <c r="C4" s="84"/>
      <c r="D4" s="85">
        <f>DATABANK!B42</f>
        <v>369613</v>
      </c>
      <c r="E4" s="86" t="s">
        <v>52</v>
      </c>
      <c r="F4" s="107">
        <f>ROUND($E$3/100*D4,2)</f>
        <v>369613</v>
      </c>
      <c r="G4" s="107">
        <f>ROUND(F4/12,2)</f>
        <v>30801.08</v>
      </c>
      <c r="H4" s="166"/>
      <c r="I4" s="173"/>
      <c r="J4" s="76"/>
      <c r="K4" s="76"/>
      <c r="L4" s="76"/>
      <c r="M4" s="76"/>
      <c r="N4" s="76"/>
      <c r="O4" s="76"/>
    </row>
    <row r="5" spans="1:21" ht="15.75" thickBot="1">
      <c r="A5" s="60" t="s">
        <v>82</v>
      </c>
      <c r="B5" s="88"/>
      <c r="C5" s="88"/>
      <c r="D5" s="77">
        <f>DATABANK!C61</f>
        <v>16602.16</v>
      </c>
      <c r="E5" s="116" t="s">
        <v>52</v>
      </c>
      <c r="F5" s="107">
        <f>ROUND(E$3/100*D5,2)</f>
        <v>16602.16</v>
      </c>
      <c r="G5" s="107">
        <f t="shared" ref="G5:G29" si="0">ROUND(F5/12,2)</f>
        <v>1383.51</v>
      </c>
      <c r="H5" s="166"/>
      <c r="I5" s="169"/>
      <c r="J5" s="76"/>
      <c r="K5" s="76"/>
      <c r="L5" s="76"/>
      <c r="M5" s="76"/>
      <c r="N5" s="76"/>
      <c r="O5" s="76"/>
      <c r="P5" s="72"/>
      <c r="Q5" s="72"/>
      <c r="R5" s="72"/>
      <c r="S5" s="72"/>
      <c r="T5" s="72"/>
      <c r="U5" s="72"/>
    </row>
    <row r="6" spans="1:21" ht="15.75" thickBot="1">
      <c r="A6" s="60" t="s">
        <v>115</v>
      </c>
      <c r="B6" s="135"/>
      <c r="C6" s="88" t="s">
        <v>21</v>
      </c>
      <c r="D6" s="77"/>
      <c r="E6" s="116"/>
      <c r="F6" s="107">
        <f>ROUND(B6*F5*0.173*0.983,2)</f>
        <v>0</v>
      </c>
      <c r="G6" s="107">
        <f t="shared" si="0"/>
        <v>0</v>
      </c>
      <c r="H6" s="166"/>
      <c r="I6" s="170">
        <f>IF(B6=1,0,0.173*F5)</f>
        <v>2872.1736799999999</v>
      </c>
      <c r="J6" s="76"/>
      <c r="K6" s="76"/>
      <c r="L6" s="76"/>
      <c r="M6" s="76"/>
      <c r="N6" s="76"/>
      <c r="O6" s="76"/>
      <c r="P6" s="72"/>
      <c r="Q6" s="72"/>
      <c r="R6" s="72"/>
      <c r="S6" s="72"/>
      <c r="T6" s="72"/>
      <c r="U6" s="72"/>
    </row>
    <row r="7" spans="1:21">
      <c r="A7" s="95" t="s">
        <v>116</v>
      </c>
      <c r="B7" s="79"/>
      <c r="C7" s="79"/>
      <c r="D7" s="78">
        <f>(DATABANK!B45-DATABANK!B42)</f>
        <v>25328</v>
      </c>
      <c r="E7" s="117" t="s">
        <v>52</v>
      </c>
      <c r="F7" s="108">
        <f>ROUND(E$3/100*D7,2)</f>
        <v>25328</v>
      </c>
      <c r="G7" s="108">
        <f t="shared" si="0"/>
        <v>2110.67</v>
      </c>
      <c r="H7" s="166"/>
      <c r="I7" s="170"/>
      <c r="J7" s="76"/>
      <c r="K7" s="76"/>
      <c r="L7" s="76"/>
      <c r="M7" s="76"/>
      <c r="N7" s="76"/>
      <c r="O7" s="76"/>
      <c r="P7" s="72"/>
      <c r="Q7" s="72"/>
      <c r="R7" s="72"/>
      <c r="S7" s="72"/>
      <c r="T7" s="72"/>
      <c r="U7" s="72"/>
    </row>
    <row r="8" spans="1:21">
      <c r="A8" s="95" t="s">
        <v>117</v>
      </c>
      <c r="B8" s="79"/>
      <c r="C8" s="79"/>
      <c r="D8" s="78">
        <f>(DATABANK!B46-DATABANK!B45)</f>
        <v>8912</v>
      </c>
      <c r="E8" s="117" t="s">
        <v>52</v>
      </c>
      <c r="F8" s="108">
        <f>ROUND(E$3/100*D8,2)</f>
        <v>8912</v>
      </c>
      <c r="G8" s="108">
        <f t="shared" si="0"/>
        <v>742.67</v>
      </c>
      <c r="H8" s="166"/>
      <c r="I8" s="170">
        <f t="shared" ref="I8:I15" si="1">0.173*F8</f>
        <v>1541.7759999999998</v>
      </c>
      <c r="J8" s="76"/>
      <c r="K8" s="76"/>
      <c r="L8" s="76"/>
      <c r="M8" s="76"/>
      <c r="N8" s="76"/>
      <c r="O8" s="76"/>
      <c r="P8" s="72"/>
      <c r="Q8" s="72"/>
      <c r="R8" s="72"/>
      <c r="S8" s="72"/>
      <c r="T8" s="72"/>
      <c r="U8" s="72"/>
    </row>
    <row r="9" spans="1:21" ht="15.75" thickBot="1">
      <c r="A9" s="95" t="s">
        <v>105</v>
      </c>
      <c r="B9" s="96"/>
      <c r="C9" s="97"/>
      <c r="D9" s="98">
        <f>IF(B25+B26&gt;0,DATABANK!C64,DATABANK!C62)</f>
        <v>8991.98</v>
      </c>
      <c r="E9" s="80" t="s">
        <v>53</v>
      </c>
      <c r="F9" s="110">
        <f>D9</f>
        <v>8991.98</v>
      </c>
      <c r="G9" s="110">
        <f t="shared" si="0"/>
        <v>749.33</v>
      </c>
      <c r="H9" s="167"/>
      <c r="I9" s="170">
        <f t="shared" si="1"/>
        <v>1555.6125399999999</v>
      </c>
      <c r="J9" s="76"/>
      <c r="K9" s="76"/>
      <c r="L9" s="76"/>
      <c r="M9" s="76"/>
      <c r="N9" s="76"/>
      <c r="O9" s="76"/>
    </row>
    <row r="10" spans="1:21" ht="15.75" thickBot="1">
      <c r="A10" s="95" t="s">
        <v>140</v>
      </c>
      <c r="B10" s="137"/>
      <c r="C10" s="79" t="s">
        <v>21</v>
      </c>
      <c r="D10" s="98">
        <f>DATABANK!C67</f>
        <v>9195.0400000000009</v>
      </c>
      <c r="E10" s="80" t="s">
        <v>53</v>
      </c>
      <c r="F10" s="110">
        <f>D10*B10</f>
        <v>0</v>
      </c>
      <c r="G10" s="110">
        <f t="shared" si="0"/>
        <v>0</v>
      </c>
      <c r="H10" s="167"/>
      <c r="I10" s="170">
        <f t="shared" si="1"/>
        <v>0</v>
      </c>
      <c r="J10" s="76"/>
      <c r="K10" s="76"/>
      <c r="L10" s="76"/>
      <c r="M10" s="76"/>
      <c r="N10" s="76"/>
      <c r="O10" s="76"/>
    </row>
    <row r="11" spans="1:21" ht="15.75" thickBot="1">
      <c r="A11" s="95" t="s">
        <v>139</v>
      </c>
      <c r="B11" s="138"/>
      <c r="C11" s="79" t="s">
        <v>21</v>
      </c>
      <c r="D11" s="98">
        <f>DATABANK!C68</f>
        <v>5250.57</v>
      </c>
      <c r="E11" s="80" t="s">
        <v>53</v>
      </c>
      <c r="F11" s="110">
        <f>D11*B11</f>
        <v>0</v>
      </c>
      <c r="G11" s="110">
        <f t="shared" si="0"/>
        <v>0</v>
      </c>
      <c r="H11" s="154"/>
      <c r="I11" s="170">
        <f t="shared" si="1"/>
        <v>0</v>
      </c>
      <c r="J11" s="76"/>
      <c r="K11" s="76"/>
      <c r="L11" s="76"/>
      <c r="M11" s="76"/>
      <c r="N11" s="76"/>
      <c r="O11" s="76"/>
    </row>
    <row r="12" spans="1:21" ht="15.75" thickBot="1">
      <c r="A12" s="95" t="s">
        <v>100</v>
      </c>
      <c r="B12" s="138"/>
      <c r="C12" s="79" t="s">
        <v>21</v>
      </c>
      <c r="D12" s="78">
        <f>DATABANK!C69</f>
        <v>33715.15</v>
      </c>
      <c r="E12" s="80" t="s">
        <v>52</v>
      </c>
      <c r="F12" s="110">
        <f>D12*B12</f>
        <v>0</v>
      </c>
      <c r="G12" s="110">
        <f t="shared" si="0"/>
        <v>0</v>
      </c>
      <c r="H12" s="167"/>
      <c r="I12" s="170">
        <f t="shared" si="1"/>
        <v>0</v>
      </c>
      <c r="J12" s="76"/>
      <c r="K12" s="76"/>
      <c r="L12" s="76"/>
      <c r="M12" s="76"/>
      <c r="N12" s="76"/>
      <c r="O12" s="76"/>
    </row>
    <row r="13" spans="1:21" ht="15.75" thickBot="1">
      <c r="A13" s="95" t="s">
        <v>101</v>
      </c>
      <c r="B13" s="99"/>
      <c r="C13" s="97" t="s">
        <v>20</v>
      </c>
      <c r="D13" s="98">
        <f>DATABANK!C70</f>
        <v>54.91</v>
      </c>
      <c r="E13" s="100" t="s">
        <v>27</v>
      </c>
      <c r="F13" s="110">
        <f>B13*D13</f>
        <v>0</v>
      </c>
      <c r="G13" s="110">
        <f t="shared" si="0"/>
        <v>0</v>
      </c>
      <c r="H13" s="167"/>
      <c r="I13" s="170">
        <f t="shared" si="1"/>
        <v>0</v>
      </c>
      <c r="J13" s="76"/>
      <c r="K13" s="76"/>
      <c r="L13" s="76"/>
      <c r="M13" s="76"/>
      <c r="N13" s="76"/>
      <c r="O13" s="76"/>
    </row>
    <row r="14" spans="1:21" ht="15.75" thickBot="1">
      <c r="A14" s="95" t="s">
        <v>152</v>
      </c>
      <c r="B14" s="99"/>
      <c r="C14" s="84" t="s">
        <v>20</v>
      </c>
      <c r="D14" s="98">
        <f>DATABANK!C73</f>
        <v>9.26</v>
      </c>
      <c r="E14" s="100" t="s">
        <v>27</v>
      </c>
      <c r="F14" s="110">
        <f>B14*D14</f>
        <v>0</v>
      </c>
      <c r="G14" s="110">
        <f t="shared" si="0"/>
        <v>0</v>
      </c>
      <c r="H14" s="167"/>
      <c r="I14" s="170">
        <f t="shared" si="1"/>
        <v>0</v>
      </c>
      <c r="J14" s="76"/>
      <c r="K14" s="76"/>
      <c r="L14" s="76"/>
      <c r="M14" s="76"/>
      <c r="N14" s="76"/>
      <c r="O14" s="76"/>
    </row>
    <row r="15" spans="1:21" ht="15.75" thickBot="1">
      <c r="A15" s="95" t="s">
        <v>141</v>
      </c>
      <c r="B15" s="99"/>
      <c r="C15" s="79" t="s">
        <v>21</v>
      </c>
      <c r="D15" s="98">
        <f>DATABANK!C59</f>
        <v>8939.6200000000008</v>
      </c>
      <c r="E15" s="80" t="s">
        <v>53</v>
      </c>
      <c r="F15" s="110">
        <f>B15*D15</f>
        <v>0</v>
      </c>
      <c r="G15" s="110">
        <f t="shared" si="0"/>
        <v>0</v>
      </c>
      <c r="H15" s="167"/>
      <c r="I15" s="170">
        <f t="shared" si="1"/>
        <v>0</v>
      </c>
      <c r="J15" s="76"/>
      <c r="K15" s="76"/>
      <c r="L15" s="76"/>
      <c r="M15" s="76"/>
      <c r="N15" s="76"/>
      <c r="O15" s="76"/>
    </row>
    <row r="16" spans="1:21" ht="15.75" thickBot="1">
      <c r="A16" s="60" t="s">
        <v>10</v>
      </c>
      <c r="B16" s="101"/>
      <c r="C16" s="84" t="s">
        <v>20</v>
      </c>
      <c r="D16" s="102"/>
      <c r="E16" s="86"/>
      <c r="F16" s="111"/>
      <c r="G16" s="111"/>
      <c r="H16" s="186"/>
      <c r="I16" s="171"/>
      <c r="J16" s="164">
        <f>ROUNDDOWN(B16,0)</f>
        <v>0</v>
      </c>
      <c r="K16" s="165">
        <f>J16+(B16-J16)/60*100</f>
        <v>0</v>
      </c>
    </row>
    <row r="17" spans="1:11">
      <c r="A17" s="60" t="s">
        <v>59</v>
      </c>
      <c r="B17" s="103">
        <f>ROUND(MIN($E3/100*299,B16),2)</f>
        <v>299</v>
      </c>
      <c r="C17" s="84" t="s">
        <v>20</v>
      </c>
      <c r="D17" s="85">
        <v>0</v>
      </c>
      <c r="E17" s="83" t="s">
        <v>27</v>
      </c>
      <c r="F17" s="109">
        <v>0</v>
      </c>
      <c r="G17" s="109">
        <f t="shared" si="0"/>
        <v>0</v>
      </c>
      <c r="H17" s="167"/>
      <c r="I17" s="171"/>
    </row>
    <row r="18" spans="1:11">
      <c r="A18" s="60" t="s">
        <v>60</v>
      </c>
      <c r="B18" s="103">
        <f>IF(B16&gt;749.999,451,ROUNDUP(MAX(MIN(2*($K16-B17-B19),2*E3/100*451),0),0)/2)</f>
        <v>0</v>
      </c>
      <c r="C18" s="84" t="s">
        <v>20</v>
      </c>
      <c r="D18" s="85">
        <f>IF(B25=1,0,DATABANK!C81)</f>
        <v>12.72</v>
      </c>
      <c r="E18" s="83" t="s">
        <v>27</v>
      </c>
      <c r="F18" s="109">
        <f>ROUND(B18*D18,2)</f>
        <v>0</v>
      </c>
      <c r="G18" s="109">
        <f t="shared" si="0"/>
        <v>0</v>
      </c>
      <c r="H18" s="167"/>
      <c r="I18" s="171"/>
    </row>
    <row r="19" spans="1:11">
      <c r="A19" s="60" t="s">
        <v>63</v>
      </c>
      <c r="B19" s="103">
        <f>ROUNDUP(2*MAX($K16-$E3/100*750,0),0)/2</f>
        <v>0</v>
      </c>
      <c r="C19" s="84" t="s">
        <v>20</v>
      </c>
      <c r="D19" s="85">
        <f>IF(B25=1,0,DATABANK!C83)</f>
        <v>107.34</v>
      </c>
      <c r="E19" s="83" t="s">
        <v>27</v>
      </c>
      <c r="F19" s="109">
        <f>ROUND(B19*D19,2)</f>
        <v>0</v>
      </c>
      <c r="G19" s="109">
        <f t="shared" si="0"/>
        <v>0</v>
      </c>
      <c r="H19" s="167"/>
      <c r="I19" s="171"/>
    </row>
    <row r="20" spans="1:11" ht="15.75" thickBot="1">
      <c r="A20" s="81" t="s">
        <v>98</v>
      </c>
      <c r="B20" s="103">
        <f>B25*ROUNDUP(2*MAX((K16-681),0),0)/2</f>
        <v>0</v>
      </c>
      <c r="C20" s="84" t="s">
        <v>20</v>
      </c>
      <c r="D20" s="85">
        <f>DATABANK!C85</f>
        <v>127.71</v>
      </c>
      <c r="E20" s="83" t="s">
        <v>27</v>
      </c>
      <c r="F20" s="109">
        <f>ROUND(B20*D20,2)</f>
        <v>0</v>
      </c>
      <c r="G20" s="109">
        <f t="shared" si="0"/>
        <v>0</v>
      </c>
      <c r="H20" s="167"/>
      <c r="I20" s="171"/>
    </row>
    <row r="21" spans="1:11" ht="15.75" thickBot="1">
      <c r="A21" s="60" t="s">
        <v>99</v>
      </c>
      <c r="B21" s="101"/>
      <c r="C21" s="84" t="s">
        <v>20</v>
      </c>
      <c r="D21" s="85">
        <f>IF(B25=1,0,DATABANK!C$86)</f>
        <v>9.26</v>
      </c>
      <c r="E21" s="83" t="s">
        <v>27</v>
      </c>
      <c r="F21" s="109">
        <f>ROUND(K21*D21,2)</f>
        <v>0</v>
      </c>
      <c r="G21" s="109">
        <f t="shared" si="0"/>
        <v>0</v>
      </c>
      <c r="H21" s="167"/>
      <c r="I21" s="172"/>
      <c r="J21" s="164">
        <f>ROUNDDOWN(B21,0)</f>
        <v>0</v>
      </c>
      <c r="K21" s="165">
        <f>J21+(B21-J21)/60*100</f>
        <v>0</v>
      </c>
    </row>
    <row r="22" spans="1:11" ht="15.75" thickBot="1">
      <c r="A22" s="81" t="s">
        <v>75</v>
      </c>
      <c r="B22" s="104"/>
      <c r="C22" s="84" t="s">
        <v>20</v>
      </c>
      <c r="D22" s="85">
        <f>DATABANK!C91</f>
        <v>41.42</v>
      </c>
      <c r="E22" s="83" t="s">
        <v>27</v>
      </c>
      <c r="F22" s="109">
        <f t="shared" ref="F22:F28" si="2">ROUND(B22*D22,2)</f>
        <v>0</v>
      </c>
      <c r="G22" s="109">
        <f t="shared" si="0"/>
        <v>0</v>
      </c>
      <c r="H22" s="167"/>
      <c r="I22" s="171"/>
    </row>
    <row r="23" spans="1:11" ht="15.75" thickBot="1">
      <c r="A23" s="81" t="s">
        <v>78</v>
      </c>
      <c r="B23" s="104"/>
      <c r="C23" s="84" t="s">
        <v>20</v>
      </c>
      <c r="D23" s="85">
        <f>DATABANK!C93</f>
        <v>19.16</v>
      </c>
      <c r="E23" s="83" t="s">
        <v>27</v>
      </c>
      <c r="F23" s="109">
        <f t="shared" si="2"/>
        <v>0</v>
      </c>
      <c r="G23" s="109">
        <f t="shared" si="0"/>
        <v>0</v>
      </c>
      <c r="H23" s="167"/>
      <c r="I23" s="171"/>
    </row>
    <row r="24" spans="1:11" ht="15.75" thickBot="1">
      <c r="A24" s="81" t="s">
        <v>80</v>
      </c>
      <c r="B24" s="104"/>
      <c r="C24" s="84" t="s">
        <v>20</v>
      </c>
      <c r="D24" s="85">
        <f>DATABANK!C95</f>
        <v>33</v>
      </c>
      <c r="E24" s="83" t="s">
        <v>27</v>
      </c>
      <c r="F24" s="109">
        <f t="shared" si="2"/>
        <v>0</v>
      </c>
      <c r="G24" s="109">
        <f t="shared" si="0"/>
        <v>0</v>
      </c>
      <c r="H24" s="167"/>
      <c r="I24" s="171"/>
    </row>
    <row r="25" spans="1:11" ht="15.75" thickBot="1">
      <c r="A25" s="81" t="s">
        <v>137</v>
      </c>
      <c r="B25" s="135"/>
      <c r="C25" s="88" t="s">
        <v>21</v>
      </c>
      <c r="D25" s="85">
        <f>DATABANK!C75</f>
        <v>36141.620000000003</v>
      </c>
      <c r="E25" s="86" t="s">
        <v>52</v>
      </c>
      <c r="F25" s="109">
        <f>E3/100*ROUND(B25*D25,2)</f>
        <v>0</v>
      </c>
      <c r="G25" s="109">
        <f t="shared" si="0"/>
        <v>0</v>
      </c>
      <c r="H25" s="167"/>
      <c r="I25" s="171"/>
    </row>
    <row r="26" spans="1:11" ht="15.75" thickBot="1">
      <c r="A26" s="81" t="s">
        <v>153</v>
      </c>
      <c r="B26" s="135"/>
      <c r="C26" s="88" t="s">
        <v>21</v>
      </c>
      <c r="D26" s="85">
        <f>DATABANK!C102</f>
        <v>23753.86</v>
      </c>
      <c r="E26" s="86" t="s">
        <v>52</v>
      </c>
      <c r="F26" s="109">
        <f>E3/100*ROUND(B26*D26,2)</f>
        <v>0</v>
      </c>
      <c r="G26" s="109">
        <f t="shared" si="0"/>
        <v>0</v>
      </c>
      <c r="H26" s="167"/>
      <c r="I26" s="171"/>
    </row>
    <row r="27" spans="1:11" ht="15.75" thickBot="1">
      <c r="A27" s="81" t="s">
        <v>94</v>
      </c>
      <c r="B27" s="136">
        <f>B16*B26</f>
        <v>0</v>
      </c>
      <c r="C27" s="84" t="s">
        <v>20</v>
      </c>
      <c r="D27" s="85">
        <f>DATABANK!C90</f>
        <v>27.81</v>
      </c>
      <c r="E27" s="83" t="s">
        <v>27</v>
      </c>
      <c r="F27" s="109">
        <f t="shared" si="2"/>
        <v>0</v>
      </c>
      <c r="G27" s="109">
        <f t="shared" si="0"/>
        <v>0</v>
      </c>
      <c r="H27" s="167"/>
      <c r="I27" s="171"/>
    </row>
    <row r="28" spans="1:11" ht="15.75" thickBot="1">
      <c r="A28" s="60" t="s">
        <v>102</v>
      </c>
      <c r="B28" s="135"/>
      <c r="C28" s="88" t="s">
        <v>21</v>
      </c>
      <c r="D28" s="85">
        <f>DATABANK!C$103</f>
        <v>12770.89</v>
      </c>
      <c r="E28" s="83" t="s">
        <v>88</v>
      </c>
      <c r="F28" s="109">
        <f t="shared" si="2"/>
        <v>0</v>
      </c>
      <c r="G28" s="109">
        <f t="shared" si="0"/>
        <v>0</v>
      </c>
      <c r="H28" s="167"/>
      <c r="I28" s="171"/>
    </row>
    <row r="29" spans="1:11" ht="16.5" thickBot="1">
      <c r="A29" s="146" t="s">
        <v>6</v>
      </c>
      <c r="B29" s="147"/>
      <c r="C29" s="113"/>
      <c r="D29" s="114"/>
      <c r="E29" s="115"/>
      <c r="F29" s="148">
        <f>SUM(F4:F28)</f>
        <v>429447.13999999996</v>
      </c>
      <c r="G29" s="148">
        <f t="shared" si="0"/>
        <v>35787.26</v>
      </c>
      <c r="H29" s="168">
        <f>SUM(H4:H28)</f>
        <v>0</v>
      </c>
      <c r="I29" s="174">
        <f>SUM(I4:I28)</f>
        <v>5969.5622199999998</v>
      </c>
    </row>
    <row r="30" spans="1:11" ht="16.5" thickBot="1">
      <c r="A30" s="122" t="s">
        <v>120</v>
      </c>
      <c r="B30" s="142"/>
      <c r="C30" s="143"/>
      <c r="D30" s="144"/>
      <c r="E30" s="145"/>
      <c r="F30" s="188"/>
      <c r="G30" s="150">
        <f>H29-G29</f>
        <v>-35787.26</v>
      </c>
      <c r="I30" s="175">
        <f>I29/12</f>
        <v>497.4635183333333</v>
      </c>
    </row>
    <row r="31" spans="1:11" ht="15.75" thickBot="1">
      <c r="A31" s="152" t="s">
        <v>121</v>
      </c>
      <c r="B31" s="54"/>
      <c r="C31" s="47"/>
      <c r="D31" s="48"/>
      <c r="E31" s="49"/>
      <c r="I31" s="176" t="s">
        <v>131</v>
      </c>
    </row>
    <row r="32" spans="1:11" ht="15" customHeight="1">
      <c r="A32" s="313"/>
      <c r="B32" s="314"/>
      <c r="C32" s="314"/>
      <c r="D32" s="314"/>
      <c r="E32" s="314"/>
      <c r="F32" s="314"/>
      <c r="G32" s="314"/>
      <c r="H32" s="315"/>
    </row>
    <row r="33" spans="1:8">
      <c r="A33" s="316"/>
      <c r="B33" s="317"/>
      <c r="C33" s="317"/>
      <c r="D33" s="317"/>
      <c r="E33" s="317"/>
      <c r="F33" s="317"/>
      <c r="G33" s="317"/>
      <c r="H33" s="318"/>
    </row>
    <row r="34" spans="1:8">
      <c r="A34" s="316"/>
      <c r="B34" s="317"/>
      <c r="C34" s="317"/>
      <c r="D34" s="317"/>
      <c r="E34" s="317"/>
      <c r="F34" s="317"/>
      <c r="G34" s="317"/>
      <c r="H34" s="318"/>
    </row>
    <row r="35" spans="1:8">
      <c r="A35" s="316"/>
      <c r="B35" s="317"/>
      <c r="C35" s="317"/>
      <c r="D35" s="317"/>
      <c r="E35" s="317"/>
      <c r="F35" s="317"/>
      <c r="G35" s="317"/>
      <c r="H35" s="318"/>
    </row>
    <row r="36" spans="1:8">
      <c r="A36" s="316"/>
      <c r="B36" s="317"/>
      <c r="C36" s="317"/>
      <c r="D36" s="317"/>
      <c r="E36" s="317"/>
      <c r="F36" s="317"/>
      <c r="G36" s="317"/>
      <c r="H36" s="318"/>
    </row>
    <row r="37" spans="1:8">
      <c r="A37" s="319"/>
      <c r="B37" s="320"/>
      <c r="C37" s="320"/>
      <c r="D37" s="320"/>
      <c r="E37" s="320"/>
      <c r="F37" s="320"/>
      <c r="G37" s="320"/>
      <c r="H37" s="321"/>
    </row>
    <row r="38" spans="1:8">
      <c r="A38" s="60" t="s">
        <v>132</v>
      </c>
      <c r="B38" s="151"/>
    </row>
  </sheetData>
  <mergeCells count="6">
    <mergeCell ref="I2:I3"/>
    <mergeCell ref="A32:H37"/>
    <mergeCell ref="F1:G1"/>
    <mergeCell ref="F2:G2"/>
    <mergeCell ref="B1:E1"/>
    <mergeCell ref="H2:H3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80" orientation="portrait" horizontalDpi="4294967293" r:id="rId1"/>
  <headerFooter alignWithMargins="0"/>
  <ignoredErrors>
    <ignoredError sqref="G29 F21" formula="1"/>
    <ignoredError sqref="E3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V34"/>
  <sheetViews>
    <sheetView zoomScaleNormal="100" workbookViewId="0"/>
  </sheetViews>
  <sheetFormatPr defaultRowHeight="15"/>
  <cols>
    <col min="1" max="1" width="18.109375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16" customWidth="1"/>
    <col min="9" max="9" width="8" style="29" customWidth="1"/>
    <col min="10" max="10" width="5.77734375" style="72" customWidth="1"/>
    <col min="11" max="11" width="6.44140625" style="72" bestFit="1" customWidth="1"/>
    <col min="12" max="12" width="5.77734375" style="75" customWidth="1"/>
    <col min="13" max="15" width="6.44140625" style="73" bestFit="1" customWidth="1"/>
    <col min="16" max="21" width="5.77734375" style="73" customWidth="1"/>
    <col min="22" max="22" width="6.44140625" style="73" bestFit="1" customWidth="1"/>
    <col min="23" max="16384" width="8.88671875" style="5"/>
  </cols>
  <sheetData>
    <row r="1" spans="1:21" ht="16.5" thickBot="1">
      <c r="A1" s="89" t="s">
        <v>28</v>
      </c>
      <c r="B1" s="326"/>
      <c r="C1" s="327"/>
      <c r="D1" s="327"/>
      <c r="E1" s="328"/>
      <c r="F1" s="308" t="s">
        <v>95</v>
      </c>
      <c r="G1" s="325"/>
      <c r="H1" s="196"/>
    </row>
    <row r="2" spans="1:21" ht="15.75" customHeight="1" thickBot="1">
      <c r="A2" s="60"/>
      <c r="B2" s="93"/>
      <c r="C2" s="93"/>
      <c r="D2" s="93"/>
      <c r="E2" s="93"/>
      <c r="F2" s="310" t="str">
        <f>DATABANK!B20</f>
        <v>1.4.2013</v>
      </c>
      <c r="G2" s="310"/>
      <c r="H2" s="329" t="s">
        <v>119</v>
      </c>
      <c r="I2" s="322" t="s">
        <v>130</v>
      </c>
    </row>
    <row r="3" spans="1:21" ht="15" customHeight="1" thickBot="1">
      <c r="A3" s="60" t="s">
        <v>32</v>
      </c>
      <c r="B3" s="183">
        <v>37</v>
      </c>
      <c r="C3" s="81"/>
      <c r="D3" s="184" t="s">
        <v>26</v>
      </c>
      <c r="E3" s="182">
        <f>B3/0.37</f>
        <v>100</v>
      </c>
      <c r="F3" s="112" t="s">
        <v>31</v>
      </c>
      <c r="G3" s="141" t="s">
        <v>30</v>
      </c>
      <c r="H3" s="330"/>
      <c r="I3" s="324"/>
    </row>
    <row r="4" spans="1:21">
      <c r="A4" s="60" t="s">
        <v>22</v>
      </c>
      <c r="B4" s="94">
        <v>42</v>
      </c>
      <c r="C4" s="84"/>
      <c r="D4" s="85">
        <f>DATABANK!B42</f>
        <v>369613</v>
      </c>
      <c r="E4" s="86" t="s">
        <v>52</v>
      </c>
      <c r="F4" s="107">
        <f>ROUND($E$3/100*D4,2)</f>
        <v>369613</v>
      </c>
      <c r="G4" s="107">
        <f>ROUND(F4/12,2)</f>
        <v>30801.08</v>
      </c>
      <c r="H4" s="166"/>
      <c r="I4" s="173"/>
      <c r="J4" s="76"/>
      <c r="K4" s="76"/>
      <c r="L4" s="76"/>
      <c r="M4" s="76"/>
      <c r="N4" s="76"/>
      <c r="O4" s="76"/>
    </row>
    <row r="5" spans="1:21" ht="15.75" thickBot="1">
      <c r="A5" s="60" t="s">
        <v>82</v>
      </c>
      <c r="B5" s="88"/>
      <c r="C5" s="88"/>
      <c r="D5" s="77">
        <f>DATABANK!C61</f>
        <v>16602.16</v>
      </c>
      <c r="E5" s="116" t="s">
        <v>52</v>
      </c>
      <c r="F5" s="107">
        <f>ROUND(E$3/100*D5,2)</f>
        <v>16602.16</v>
      </c>
      <c r="G5" s="107">
        <f t="shared" ref="G5:G25" si="0">ROUND(F5/12,2)</f>
        <v>1383.51</v>
      </c>
      <c r="H5" s="166"/>
      <c r="I5" s="169"/>
      <c r="J5" s="76"/>
      <c r="K5" s="76"/>
      <c r="L5" s="76"/>
      <c r="M5" s="76"/>
      <c r="N5" s="76"/>
      <c r="O5" s="76"/>
      <c r="P5" s="72"/>
      <c r="Q5" s="72"/>
      <c r="R5" s="72"/>
      <c r="S5" s="72"/>
      <c r="T5" s="72"/>
      <c r="U5" s="72"/>
    </row>
    <row r="6" spans="1:21" ht="15.75" thickBot="1">
      <c r="A6" s="60" t="s">
        <v>115</v>
      </c>
      <c r="B6" s="135"/>
      <c r="C6" s="88" t="s">
        <v>21</v>
      </c>
      <c r="D6" s="77"/>
      <c r="E6" s="116"/>
      <c r="F6" s="107">
        <f>ROUND(B6*F5*0.173*0.983,2)</f>
        <v>0</v>
      </c>
      <c r="G6" s="107">
        <f t="shared" si="0"/>
        <v>0</v>
      </c>
      <c r="H6" s="166"/>
      <c r="I6" s="170">
        <f>IF(B6=1,0,0.173*F5)</f>
        <v>2872.1736799999999</v>
      </c>
      <c r="J6" s="76"/>
      <c r="K6" s="76"/>
      <c r="L6" s="76"/>
      <c r="M6" s="76"/>
      <c r="N6" s="76"/>
      <c r="O6" s="76"/>
      <c r="P6" s="72"/>
      <c r="Q6" s="72"/>
      <c r="R6" s="72"/>
      <c r="S6" s="72"/>
      <c r="T6" s="72"/>
      <c r="U6" s="72"/>
    </row>
    <row r="7" spans="1:21">
      <c r="A7" s="95" t="s">
        <v>116</v>
      </c>
      <c r="B7" s="79"/>
      <c r="C7" s="79"/>
      <c r="D7" s="78">
        <f>(DATABANK!B45-DATABANK!B42)</f>
        <v>25328</v>
      </c>
      <c r="E7" s="117" t="s">
        <v>52</v>
      </c>
      <c r="F7" s="108">
        <f>ROUND(E$3/100*D7,2)</f>
        <v>25328</v>
      </c>
      <c r="G7" s="108">
        <f t="shared" si="0"/>
        <v>2110.67</v>
      </c>
      <c r="H7" s="166"/>
      <c r="I7" s="170"/>
      <c r="J7" s="76"/>
      <c r="K7" s="76"/>
      <c r="L7" s="76"/>
      <c r="M7" s="76"/>
      <c r="N7" s="76"/>
      <c r="O7" s="76"/>
      <c r="P7" s="72"/>
      <c r="Q7" s="72"/>
      <c r="R7" s="72"/>
      <c r="S7" s="72"/>
      <c r="T7" s="72"/>
      <c r="U7" s="72"/>
    </row>
    <row r="8" spans="1:21">
      <c r="A8" s="95" t="s">
        <v>117</v>
      </c>
      <c r="B8" s="79"/>
      <c r="C8" s="79"/>
      <c r="D8" s="78">
        <f>(DATABANK!B46-DATABANK!B45)</f>
        <v>8912</v>
      </c>
      <c r="E8" s="117" t="s">
        <v>52</v>
      </c>
      <c r="F8" s="108">
        <f>ROUND(E$3/100*D8,2)</f>
        <v>8912</v>
      </c>
      <c r="G8" s="108">
        <f t="shared" si="0"/>
        <v>742.67</v>
      </c>
      <c r="H8" s="166"/>
      <c r="I8" s="170">
        <f t="shared" ref="I8:I15" si="1">0.173*F8</f>
        <v>1541.7759999999998</v>
      </c>
      <c r="J8" s="76"/>
      <c r="K8" s="76"/>
      <c r="L8" s="76"/>
      <c r="M8" s="76"/>
      <c r="N8" s="76"/>
      <c r="O8" s="76"/>
      <c r="P8" s="72"/>
      <c r="Q8" s="72"/>
      <c r="R8" s="72"/>
      <c r="S8" s="72"/>
      <c r="T8" s="72"/>
      <c r="U8" s="72"/>
    </row>
    <row r="9" spans="1:21" ht="15.75" thickBot="1">
      <c r="A9" s="95" t="s">
        <v>105</v>
      </c>
      <c r="B9" s="96"/>
      <c r="C9" s="97"/>
      <c r="D9" s="98">
        <f>DATABANK!C63</f>
        <v>10892.29</v>
      </c>
      <c r="E9" s="80" t="s">
        <v>53</v>
      </c>
      <c r="F9" s="110">
        <f>D9</f>
        <v>10892.29</v>
      </c>
      <c r="G9" s="110">
        <f t="shared" si="0"/>
        <v>907.69</v>
      </c>
      <c r="H9" s="167"/>
      <c r="I9" s="170">
        <f t="shared" si="1"/>
        <v>1884.36617</v>
      </c>
      <c r="J9" s="76"/>
      <c r="K9" s="76"/>
      <c r="L9" s="76"/>
      <c r="M9" s="76"/>
      <c r="N9" s="76"/>
      <c r="O9" s="76"/>
    </row>
    <row r="10" spans="1:21" ht="15.75" thickBot="1">
      <c r="A10" s="95" t="s">
        <v>140</v>
      </c>
      <c r="B10" s="137"/>
      <c r="C10" s="79" t="s">
        <v>21</v>
      </c>
      <c r="D10" s="98">
        <f>DATABANK!C67</f>
        <v>9195.0400000000009</v>
      </c>
      <c r="E10" s="80" t="s">
        <v>53</v>
      </c>
      <c r="F10" s="110">
        <f>D10*B10</f>
        <v>0</v>
      </c>
      <c r="G10" s="110">
        <f t="shared" si="0"/>
        <v>0</v>
      </c>
      <c r="H10" s="167"/>
      <c r="I10" s="170">
        <f t="shared" si="1"/>
        <v>0</v>
      </c>
      <c r="J10" s="76"/>
      <c r="K10" s="76"/>
      <c r="L10" s="76"/>
      <c r="M10" s="76"/>
      <c r="N10" s="76"/>
      <c r="O10" s="76"/>
    </row>
    <row r="11" spans="1:21" ht="15.75" thickBot="1">
      <c r="A11" s="95" t="s">
        <v>139</v>
      </c>
      <c r="B11" s="138"/>
      <c r="C11" s="79" t="s">
        <v>21</v>
      </c>
      <c r="D11" s="98">
        <f>DATABANK!C68</f>
        <v>5250.57</v>
      </c>
      <c r="E11" s="80" t="s">
        <v>53</v>
      </c>
      <c r="F11" s="110">
        <f>D11*B11</f>
        <v>0</v>
      </c>
      <c r="G11" s="110">
        <f t="shared" si="0"/>
        <v>0</v>
      </c>
      <c r="H11" s="154"/>
      <c r="I11" s="170">
        <f t="shared" si="1"/>
        <v>0</v>
      </c>
      <c r="J11" s="76"/>
      <c r="K11" s="76"/>
      <c r="L11" s="76"/>
      <c r="M11" s="76"/>
      <c r="N11" s="76"/>
      <c r="O11" s="76"/>
    </row>
    <row r="12" spans="1:21" ht="15.75" thickBot="1">
      <c r="A12" s="95" t="s">
        <v>100</v>
      </c>
      <c r="B12" s="138"/>
      <c r="C12" s="79" t="s">
        <v>21</v>
      </c>
      <c r="D12" s="78">
        <f>DATABANK!C69</f>
        <v>33715.15</v>
      </c>
      <c r="E12" s="80" t="s">
        <v>52</v>
      </c>
      <c r="F12" s="110">
        <f>D12*B12</f>
        <v>0</v>
      </c>
      <c r="G12" s="110">
        <f t="shared" si="0"/>
        <v>0</v>
      </c>
      <c r="H12" s="167"/>
      <c r="I12" s="170">
        <f t="shared" si="1"/>
        <v>0</v>
      </c>
      <c r="J12" s="76"/>
      <c r="K12" s="76"/>
      <c r="L12" s="76"/>
      <c r="M12" s="76"/>
      <c r="N12" s="76"/>
      <c r="O12" s="76"/>
    </row>
    <row r="13" spans="1:21" ht="15.75" thickBot="1">
      <c r="A13" s="95" t="s">
        <v>101</v>
      </c>
      <c r="B13" s="99"/>
      <c r="C13" s="97" t="s">
        <v>20</v>
      </c>
      <c r="D13" s="98">
        <f>DATABANK!C70</f>
        <v>54.91</v>
      </c>
      <c r="E13" s="100" t="s">
        <v>27</v>
      </c>
      <c r="F13" s="110">
        <f>B13*D13</f>
        <v>0</v>
      </c>
      <c r="G13" s="110">
        <f t="shared" si="0"/>
        <v>0</v>
      </c>
      <c r="H13" s="167"/>
      <c r="I13" s="170">
        <f t="shared" si="1"/>
        <v>0</v>
      </c>
      <c r="J13" s="76"/>
      <c r="K13" s="76"/>
      <c r="L13" s="76"/>
      <c r="M13" s="76"/>
      <c r="N13" s="76"/>
      <c r="O13" s="76"/>
    </row>
    <row r="14" spans="1:21" ht="15.75" thickBot="1">
      <c r="A14" s="95" t="s">
        <v>152</v>
      </c>
      <c r="B14" s="99"/>
      <c r="C14" s="84" t="s">
        <v>20</v>
      </c>
      <c r="D14" s="98">
        <f>DATABANK!C73</f>
        <v>9.26</v>
      </c>
      <c r="E14" s="100" t="s">
        <v>27</v>
      </c>
      <c r="F14" s="110">
        <f>B14*D14</f>
        <v>0</v>
      </c>
      <c r="G14" s="110">
        <f t="shared" si="0"/>
        <v>0</v>
      </c>
      <c r="H14" s="167"/>
      <c r="I14" s="170">
        <f t="shared" si="1"/>
        <v>0</v>
      </c>
      <c r="J14" s="76"/>
      <c r="K14" s="76"/>
      <c r="L14" s="76"/>
      <c r="M14" s="76"/>
      <c r="N14" s="76"/>
      <c r="O14" s="76"/>
    </row>
    <row r="15" spans="1:21" ht="15.75" thickBot="1">
      <c r="A15" s="95" t="s">
        <v>155</v>
      </c>
      <c r="B15" s="99"/>
      <c r="C15" s="79" t="s">
        <v>21</v>
      </c>
      <c r="D15" s="98">
        <f>DATABANK!C59</f>
        <v>8939.6200000000008</v>
      </c>
      <c r="E15" s="80" t="s">
        <v>53</v>
      </c>
      <c r="F15" s="110">
        <f>B15*D15</f>
        <v>0</v>
      </c>
      <c r="G15" s="110">
        <f t="shared" ref="G15" si="2">ROUND(F15/12,2)</f>
        <v>0</v>
      </c>
      <c r="H15" s="201"/>
      <c r="I15" s="170">
        <f t="shared" si="1"/>
        <v>0</v>
      </c>
      <c r="J15" s="76"/>
      <c r="K15" s="76"/>
      <c r="L15" s="76"/>
      <c r="M15" s="76"/>
      <c r="N15" s="76"/>
      <c r="O15" s="76"/>
    </row>
    <row r="16" spans="1:21" ht="15.75" thickBot="1">
      <c r="A16" s="60" t="s">
        <v>10</v>
      </c>
      <c r="B16" s="101"/>
      <c r="C16" s="84" t="s">
        <v>20</v>
      </c>
      <c r="D16" s="102"/>
      <c r="E16" s="86"/>
      <c r="F16" s="111"/>
      <c r="G16" s="111"/>
      <c r="H16" s="186"/>
      <c r="I16" s="171"/>
      <c r="J16" s="164">
        <f>ROUNDDOWN(B16,0)</f>
        <v>0</v>
      </c>
      <c r="K16" s="165">
        <f>J16+(B16-J16)/60*100</f>
        <v>0</v>
      </c>
    </row>
    <row r="17" spans="1:11">
      <c r="A17" s="60" t="s">
        <v>59</v>
      </c>
      <c r="B17" s="103">
        <f>ROUND(MIN($E3/100*299,B16),2)</f>
        <v>299</v>
      </c>
      <c r="C17" s="84" t="s">
        <v>20</v>
      </c>
      <c r="D17" s="85">
        <v>0</v>
      </c>
      <c r="E17" s="83" t="s">
        <v>27</v>
      </c>
      <c r="F17" s="109">
        <v>0</v>
      </c>
      <c r="G17" s="109">
        <f t="shared" si="0"/>
        <v>0</v>
      </c>
      <c r="H17" s="167"/>
      <c r="I17" s="171"/>
    </row>
    <row r="18" spans="1:11">
      <c r="A18" s="60" t="s">
        <v>60</v>
      </c>
      <c r="B18" s="103">
        <f>IF(B16&gt;749.999,451,ROUNDUP(MAX(MIN(2*($K16-B17-B19),2*E3/100*451),0),0)/2)</f>
        <v>0</v>
      </c>
      <c r="C18" s="84" t="s">
        <v>20</v>
      </c>
      <c r="D18" s="85">
        <f>DATABANK!C82</f>
        <v>14.66</v>
      </c>
      <c r="E18" s="83" t="s">
        <v>27</v>
      </c>
      <c r="F18" s="109">
        <f>ROUND(B18*D18,2)</f>
        <v>0</v>
      </c>
      <c r="G18" s="109">
        <f t="shared" si="0"/>
        <v>0</v>
      </c>
      <c r="H18" s="167"/>
      <c r="I18" s="171"/>
    </row>
    <row r="19" spans="1:11">
      <c r="A19" s="60" t="s">
        <v>63</v>
      </c>
      <c r="B19" s="103">
        <f>ROUNDUP(2*MAX($K16-$E3/100*750,0),0)/2</f>
        <v>0</v>
      </c>
      <c r="C19" s="84" t="s">
        <v>20</v>
      </c>
      <c r="D19" s="85">
        <f>DATABANK!C83</f>
        <v>107.34</v>
      </c>
      <c r="E19" s="83" t="s">
        <v>27</v>
      </c>
      <c r="F19" s="109">
        <f>ROUND(B19*D19,2)</f>
        <v>0</v>
      </c>
      <c r="G19" s="109">
        <f t="shared" si="0"/>
        <v>0</v>
      </c>
      <c r="H19" s="167"/>
      <c r="I19" s="171"/>
    </row>
    <row r="20" spans="1:11" ht="15.75" thickBot="1">
      <c r="A20" s="60" t="s">
        <v>99</v>
      </c>
      <c r="B20" s="103"/>
      <c r="C20" s="84" t="s">
        <v>20</v>
      </c>
      <c r="D20" s="85">
        <f>DATABANK!C$87</f>
        <v>0</v>
      </c>
      <c r="E20" s="83" t="s">
        <v>27</v>
      </c>
      <c r="F20" s="109">
        <v>0</v>
      </c>
      <c r="G20" s="109">
        <f t="shared" si="0"/>
        <v>0</v>
      </c>
      <c r="H20" s="167"/>
      <c r="I20" s="172"/>
      <c r="J20" s="164">
        <f>ROUNDDOWN(B20,0)</f>
        <v>0</v>
      </c>
      <c r="K20" s="165">
        <f>J20+(B20-J20)/60*100</f>
        <v>0</v>
      </c>
    </row>
    <row r="21" spans="1:11" ht="15.75" thickBot="1">
      <c r="A21" s="81" t="s">
        <v>75</v>
      </c>
      <c r="B21" s="104"/>
      <c r="C21" s="84" t="s">
        <v>20</v>
      </c>
      <c r="D21" s="85">
        <f>DATABANK!C92</f>
        <v>45.99</v>
      </c>
      <c r="E21" s="83" t="s">
        <v>27</v>
      </c>
      <c r="F21" s="109">
        <f t="shared" ref="F21:F24" si="3">ROUND(B21*D21,2)</f>
        <v>0</v>
      </c>
      <c r="G21" s="109">
        <f t="shared" si="0"/>
        <v>0</v>
      </c>
      <c r="H21" s="167"/>
      <c r="I21" s="171"/>
    </row>
    <row r="22" spans="1:11" ht="15.75" thickBot="1">
      <c r="A22" s="81" t="s">
        <v>78</v>
      </c>
      <c r="B22" s="104"/>
      <c r="C22" s="84" t="s">
        <v>20</v>
      </c>
      <c r="D22" s="85">
        <f>DATABANK!C94</f>
        <v>22.81</v>
      </c>
      <c r="E22" s="83" t="s">
        <v>27</v>
      </c>
      <c r="F22" s="109">
        <f t="shared" si="3"/>
        <v>0</v>
      </c>
      <c r="G22" s="109">
        <f t="shared" si="0"/>
        <v>0</v>
      </c>
      <c r="H22" s="167"/>
      <c r="I22" s="171"/>
    </row>
    <row r="23" spans="1:11" ht="15.75" thickBot="1">
      <c r="A23" s="81" t="s">
        <v>80</v>
      </c>
      <c r="B23" s="104"/>
      <c r="C23" s="84" t="s">
        <v>20</v>
      </c>
      <c r="D23" s="85">
        <f>DATABANK!C96</f>
        <v>36.65</v>
      </c>
      <c r="E23" s="83" t="s">
        <v>27</v>
      </c>
      <c r="F23" s="109">
        <f t="shared" si="3"/>
        <v>0</v>
      </c>
      <c r="G23" s="109">
        <f t="shared" si="0"/>
        <v>0</v>
      </c>
      <c r="H23" s="167"/>
      <c r="I23" s="171"/>
    </row>
    <row r="24" spans="1:11" ht="15.75" thickBot="1">
      <c r="A24" s="60" t="s">
        <v>102</v>
      </c>
      <c r="B24" s="135"/>
      <c r="C24" s="88" t="s">
        <v>21</v>
      </c>
      <c r="D24" s="85">
        <f>DATABANK!C$103</f>
        <v>12770.89</v>
      </c>
      <c r="E24" s="83" t="s">
        <v>88</v>
      </c>
      <c r="F24" s="109">
        <f t="shared" si="3"/>
        <v>0</v>
      </c>
      <c r="G24" s="109">
        <f t="shared" si="0"/>
        <v>0</v>
      </c>
      <c r="H24" s="167"/>
      <c r="I24" s="171"/>
    </row>
    <row r="25" spans="1:11" ht="16.5" thickBot="1">
      <c r="A25" s="146" t="s">
        <v>6</v>
      </c>
      <c r="B25" s="147"/>
      <c r="C25" s="113"/>
      <c r="D25" s="114"/>
      <c r="E25" s="115"/>
      <c r="F25" s="148">
        <f>SUM(F4:F24)</f>
        <v>431347.44999999995</v>
      </c>
      <c r="G25" s="148">
        <f t="shared" si="0"/>
        <v>35945.620000000003</v>
      </c>
      <c r="H25" s="168">
        <f>SUM(H4:H24)</f>
        <v>0</v>
      </c>
      <c r="I25" s="174">
        <f>SUM(I4:I24)</f>
        <v>6298.31585</v>
      </c>
    </row>
    <row r="26" spans="1:11" ht="16.5" thickBot="1">
      <c r="A26" s="122" t="s">
        <v>120</v>
      </c>
      <c r="B26" s="142"/>
      <c r="C26" s="143"/>
      <c r="D26" s="144"/>
      <c r="E26" s="145"/>
      <c r="F26" s="188"/>
      <c r="G26" s="150">
        <f>H25-G25</f>
        <v>-35945.620000000003</v>
      </c>
      <c r="I26" s="175">
        <f>0.173*I25</f>
        <v>1089.6086420499998</v>
      </c>
    </row>
    <row r="27" spans="1:11" ht="15.75" thickBot="1">
      <c r="A27" s="152" t="s">
        <v>121</v>
      </c>
      <c r="B27" s="54"/>
      <c r="C27" s="47"/>
      <c r="D27" s="48"/>
      <c r="E27" s="49"/>
      <c r="I27" s="176"/>
    </row>
    <row r="28" spans="1:11" ht="15" customHeight="1">
      <c r="A28" s="313"/>
      <c r="B28" s="314"/>
      <c r="C28" s="314"/>
      <c r="D28" s="314"/>
      <c r="E28" s="314"/>
      <c r="F28" s="314"/>
      <c r="G28" s="314"/>
      <c r="H28" s="315"/>
    </row>
    <row r="29" spans="1:11">
      <c r="A29" s="316"/>
      <c r="B29" s="317"/>
      <c r="C29" s="317"/>
      <c r="D29" s="317"/>
      <c r="E29" s="317"/>
      <c r="F29" s="317"/>
      <c r="G29" s="317"/>
      <c r="H29" s="318"/>
    </row>
    <row r="30" spans="1:11">
      <c r="A30" s="316"/>
      <c r="B30" s="317"/>
      <c r="C30" s="317"/>
      <c r="D30" s="317"/>
      <c r="E30" s="317"/>
      <c r="F30" s="317"/>
      <c r="G30" s="317"/>
      <c r="H30" s="318"/>
    </row>
    <row r="31" spans="1:11">
      <c r="A31" s="316"/>
      <c r="B31" s="317"/>
      <c r="C31" s="317"/>
      <c r="D31" s="317"/>
      <c r="E31" s="317"/>
      <c r="F31" s="317"/>
      <c r="G31" s="317"/>
      <c r="H31" s="318"/>
    </row>
    <row r="32" spans="1:11">
      <c r="A32" s="316"/>
      <c r="B32" s="317"/>
      <c r="C32" s="317"/>
      <c r="D32" s="317"/>
      <c r="E32" s="317"/>
      <c r="F32" s="317"/>
      <c r="G32" s="317"/>
      <c r="H32" s="318"/>
    </row>
    <row r="33" spans="1:8">
      <c r="A33" s="319"/>
      <c r="B33" s="320"/>
      <c r="C33" s="320"/>
      <c r="D33" s="320"/>
      <c r="E33" s="320"/>
      <c r="F33" s="320"/>
      <c r="G33" s="320"/>
      <c r="H33" s="321"/>
    </row>
    <row r="34" spans="1:8">
      <c r="A34" s="60" t="s">
        <v>132</v>
      </c>
      <c r="B34" s="151"/>
    </row>
  </sheetData>
  <mergeCells count="6">
    <mergeCell ref="I2:I3"/>
    <mergeCell ref="A28:H33"/>
    <mergeCell ref="B1:E1"/>
    <mergeCell ref="F1:G1"/>
    <mergeCell ref="F2:G2"/>
    <mergeCell ref="H2:H3"/>
  </mergeCells>
  <pageMargins left="0.7" right="0.7" top="0.75" bottom="0.75" header="0.3" footer="0.3"/>
  <pageSetup paperSize="9" scale="7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5"/>
  <sheetViews>
    <sheetView workbookViewId="0">
      <selection activeCell="E7" sqref="E7"/>
    </sheetView>
  </sheetViews>
  <sheetFormatPr defaultRowHeight="15"/>
  <sheetData>
    <row r="1" spans="1:8" ht="15.75">
      <c r="A1" s="331" t="s">
        <v>34</v>
      </c>
      <c r="B1" s="332"/>
      <c r="C1" s="332"/>
      <c r="D1" s="332"/>
      <c r="E1" s="332"/>
      <c r="F1" s="332"/>
      <c r="G1" s="332"/>
      <c r="H1" s="333"/>
    </row>
    <row r="2" spans="1:8">
      <c r="F2" s="42" t="s">
        <v>40</v>
      </c>
      <c r="G2" s="225" t="s">
        <v>41</v>
      </c>
      <c r="H2" s="42" t="s">
        <v>2</v>
      </c>
    </row>
    <row r="3" spans="1:8" ht="15.75">
      <c r="A3" s="38" t="s">
        <v>35</v>
      </c>
      <c r="B3" s="39"/>
      <c r="C3" s="39"/>
      <c r="D3" s="39"/>
      <c r="E3" s="39"/>
      <c r="F3" s="40">
        <f>DATABANK!C108</f>
        <v>248.36</v>
      </c>
      <c r="G3" s="226">
        <f>DATABANK!C111</f>
        <v>7.66</v>
      </c>
      <c r="H3" s="41">
        <f>SUM(F3:G3)</f>
        <v>256.02000000000004</v>
      </c>
    </row>
    <row r="4" spans="1:8" ht="15.75">
      <c r="A4" s="38" t="s">
        <v>36</v>
      </c>
      <c r="B4" s="39"/>
      <c r="C4" s="39"/>
      <c r="D4" s="39"/>
      <c r="E4" s="39"/>
      <c r="F4" s="40">
        <f>DATABANK!C109</f>
        <v>236.77</v>
      </c>
      <c r="G4" s="226">
        <f>DATABANK!C111</f>
        <v>7.66</v>
      </c>
      <c r="H4" s="55">
        <f>SUM(F4:G4)</f>
        <v>244.43</v>
      </c>
    </row>
    <row r="5" spans="1:8" ht="15.75">
      <c r="A5" s="38" t="s">
        <v>37</v>
      </c>
      <c r="B5" s="39"/>
      <c r="C5" s="39"/>
      <c r="D5" s="39"/>
      <c r="E5" s="39"/>
      <c r="F5" s="40">
        <f>DATABANK!C110</f>
        <v>199.92</v>
      </c>
      <c r="G5" s="226">
        <f>DATABANK!C112</f>
        <v>3.83</v>
      </c>
      <c r="H5" s="41">
        <f>SUM(F5:G5)</f>
        <v>203.75</v>
      </c>
    </row>
  </sheetData>
  <mergeCells count="1">
    <mergeCell ref="A1:H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H7"/>
  <sheetViews>
    <sheetView workbookViewId="0">
      <selection activeCell="D11" sqref="D11"/>
    </sheetView>
  </sheetViews>
  <sheetFormatPr defaultRowHeight="15"/>
  <sheetData>
    <row r="1" spans="1:8" ht="15.75">
      <c r="A1" s="331" t="s">
        <v>46</v>
      </c>
      <c r="B1" s="332"/>
      <c r="C1" s="332"/>
      <c r="D1" s="332"/>
      <c r="E1" s="332"/>
      <c r="F1" s="332"/>
      <c r="G1" s="332"/>
      <c r="H1" s="333"/>
    </row>
    <row r="2" spans="1:8">
      <c r="F2" s="42" t="s">
        <v>49</v>
      </c>
      <c r="G2" s="42" t="s">
        <v>29</v>
      </c>
      <c r="H2" s="42" t="s">
        <v>50</v>
      </c>
    </row>
    <row r="3" spans="1:8">
      <c r="A3" s="38" t="s">
        <v>48</v>
      </c>
      <c r="B3" s="39"/>
      <c r="C3" s="39"/>
      <c r="D3" s="39"/>
      <c r="E3" s="39"/>
      <c r="F3" s="46"/>
      <c r="G3" s="40">
        <f>DATABANK!C88</f>
        <v>162.13</v>
      </c>
      <c r="H3" s="44">
        <f>F3*G3</f>
        <v>0</v>
      </c>
    </row>
    <row r="4" spans="1:8">
      <c r="A4" s="38" t="s">
        <v>47</v>
      </c>
      <c r="B4" s="39"/>
      <c r="C4" s="39"/>
      <c r="D4" s="39"/>
      <c r="E4" s="39"/>
      <c r="F4" s="46"/>
      <c r="G4" s="40">
        <f>DATABANK!C89</f>
        <v>368.76</v>
      </c>
      <c r="H4" s="44">
        <f>F4*G4</f>
        <v>0</v>
      </c>
    </row>
    <row r="5" spans="1:8" ht="15.75">
      <c r="A5" s="38" t="s">
        <v>6</v>
      </c>
      <c r="B5" s="39"/>
      <c r="C5" s="39"/>
      <c r="D5" s="39"/>
      <c r="E5" s="39"/>
      <c r="F5" s="45">
        <f>SUM(F3:F4)</f>
        <v>0</v>
      </c>
      <c r="G5" s="40"/>
      <c r="H5" s="43">
        <f>SUM(H3:H4)</f>
        <v>0</v>
      </c>
    </row>
    <row r="7" spans="1:8">
      <c r="A7" t="s">
        <v>51</v>
      </c>
      <c r="B7" s="37" t="str">
        <f>DATABANK!B20</f>
        <v>1.4.2013</v>
      </c>
    </row>
  </sheetData>
  <mergeCells count="1">
    <mergeCell ref="A1:H1"/>
  </mergeCells>
  <phoneticPr fontId="1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7</vt:i4>
      </vt:variant>
    </vt:vector>
  </HeadingPairs>
  <TitlesOfParts>
    <vt:vector size="18" baseType="lpstr">
      <vt:lpstr>INTRO</vt:lpstr>
      <vt:lpstr> BHKL NY LØN</vt:lpstr>
      <vt:lpstr>BHKL GL LØN</vt:lpstr>
      <vt:lpstr>LÆRER NY LØN KA, OI, UUM</vt:lpstr>
      <vt:lpstr>LÆRER NY LØN ØVRIGE SKOLER</vt:lpstr>
      <vt:lpstr>LÆRER GL LØN KA, OI, UUM</vt:lpstr>
      <vt:lpstr>LÆRER GL LØN ØVRIGE SKOLER</vt:lpstr>
      <vt:lpstr>Timelønnede</vt:lpstr>
      <vt:lpstr>Lejrskole</vt:lpstr>
      <vt:lpstr>Dage</vt:lpstr>
      <vt:lpstr>DATABANK</vt:lpstr>
      <vt:lpstr>' BHKL NY LØN'!Udskriftsområde</vt:lpstr>
      <vt:lpstr>'BHKL GL LØN'!Udskriftsområde</vt:lpstr>
      <vt:lpstr>DATABANK!Udskriftsområde</vt:lpstr>
      <vt:lpstr>'LÆRER GL LØN KA, OI, UUM'!Udskriftsområde</vt:lpstr>
      <vt:lpstr>'LÆRER GL LØN ØVRIGE SKOLER'!Udskriftsområde</vt:lpstr>
      <vt:lpstr>'LÆRER NY LØN KA, OI, UUM'!Udskriftsområde</vt:lpstr>
      <vt:lpstr>'LÆRER NY LØN ØVRIGE SKOLER'!Udskriftsområde</vt:lpstr>
    </vt:vector>
  </TitlesOfParts>
  <Company>BLF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BLF løn</dc:title>
  <dc:creator>BLF</dc:creator>
  <cp:lastModifiedBy>Morten Refskov</cp:lastModifiedBy>
  <cp:lastPrinted>2011-09-07T15:31:00Z</cp:lastPrinted>
  <dcterms:created xsi:type="dcterms:W3CDTF">1999-08-18T13:04:59Z</dcterms:created>
  <dcterms:modified xsi:type="dcterms:W3CDTF">2013-05-28T07:02:37Z</dcterms:modified>
</cp:coreProperties>
</file>