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210" windowWidth="11100" windowHeight="6345" tabRatio="818"/>
  </bookViews>
  <sheets>
    <sheet name="INTRO" sheetId="1" r:id="rId1"/>
    <sheet name=" BHKL NY LØN" sheetId="2" r:id="rId2"/>
    <sheet name="BHKL GL LØN" sheetId="3" r:id="rId3"/>
    <sheet name="LÆRER NY LØN" sheetId="4" r:id="rId4"/>
    <sheet name="LÆRER GL LØN" sheetId="5" r:id="rId5"/>
    <sheet name="Timelønnede" sheetId="11" r:id="rId6"/>
    <sheet name="Lejrskole" sheetId="12" r:id="rId7"/>
    <sheet name="Dage" sheetId="13" r:id="rId8"/>
    <sheet name="DATABANK" sheetId="10" r:id="rId9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LØN'!$A$1:$H$44</definedName>
    <definedName name="_xlnm.Print_Area" localSheetId="2">'BHKL GL LØN'!$A$1:$I$32</definedName>
    <definedName name="_xlnm.Print_Area" localSheetId="8">DATABANK!$A$1:$G$105</definedName>
    <definedName name="_xlnm.Print_Area" localSheetId="4">'LÆRER GL LØN'!$A$1:$I$37</definedName>
    <definedName name="_xlnm.Print_Area" localSheetId="3">'LÆRER NY LØN'!$A$1:$H$52</definedName>
  </definedNames>
  <calcPr calcId="144525"/>
</workbook>
</file>

<file path=xl/calcChain.xml><?xml version="1.0" encoding="utf-8"?>
<calcChain xmlns="http://schemas.openxmlformats.org/spreadsheetml/2006/main">
  <c r="F40" i="4" l="1"/>
  <c r="F39" i="4"/>
  <c r="I10" i="5"/>
  <c r="I11" i="5"/>
  <c r="I12" i="5"/>
  <c r="I13" i="5"/>
  <c r="I14" i="5"/>
  <c r="D14" i="5"/>
  <c r="F29" i="4"/>
  <c r="G29" i="4"/>
  <c r="D29" i="4"/>
  <c r="D19" i="4"/>
  <c r="D20" i="4"/>
  <c r="F20" i="4"/>
  <c r="G20" i="4"/>
  <c r="I19" i="4"/>
  <c r="I8" i="3"/>
  <c r="D9" i="5"/>
  <c r="D25" i="5"/>
  <c r="D23" i="4"/>
  <c r="F23" i="4"/>
  <c r="E15" i="13"/>
  <c r="D15" i="13"/>
  <c r="E11" i="13"/>
  <c r="D11" i="13"/>
  <c r="B15" i="13"/>
  <c r="D14" i="13"/>
  <c r="D13" i="13"/>
  <c r="B13" i="13"/>
  <c r="E13" i="13"/>
  <c r="C5" i="13"/>
  <c r="D5" i="13"/>
  <c r="E5" i="13"/>
  <c r="F5" i="13"/>
  <c r="G5" i="13"/>
  <c r="H5" i="13"/>
  <c r="I5" i="13"/>
  <c r="J5" i="13"/>
  <c r="K5" i="13"/>
  <c r="L5" i="13"/>
  <c r="M5" i="13"/>
  <c r="B11" i="13"/>
  <c r="B10" i="13"/>
  <c r="E9" i="13"/>
  <c r="B9" i="13"/>
  <c r="B5" i="13"/>
  <c r="B12" i="13"/>
  <c r="D14" i="2"/>
  <c r="D12" i="2"/>
  <c r="D11" i="2"/>
  <c r="D9" i="2"/>
  <c r="D8" i="2"/>
  <c r="D7" i="2"/>
  <c r="D5" i="3"/>
  <c r="D4" i="3"/>
  <c r="D4" i="2"/>
  <c r="E25" i="13"/>
  <c r="B27" i="13"/>
  <c r="D26" i="13"/>
  <c r="C30" i="13"/>
  <c r="B30" i="13"/>
  <c r="D29" i="13"/>
  <c r="E29" i="13"/>
  <c r="C31" i="13"/>
  <c r="D30" i="13"/>
  <c r="B29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B28" i="13"/>
  <c r="B26" i="13"/>
  <c r="B25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B42" i="13"/>
  <c r="E42" i="13"/>
  <c r="B43" i="13"/>
  <c r="B44" i="13"/>
  <c r="D43" i="13"/>
  <c r="E43" i="13"/>
  <c r="E48" i="13"/>
  <c r="B45" i="13"/>
  <c r="B46" i="13"/>
  <c r="C47" i="13"/>
  <c r="B47" i="13"/>
  <c r="D46" i="13"/>
  <c r="E46" i="13"/>
  <c r="C48" i="13"/>
  <c r="D47" i="13"/>
  <c r="D48" i="13"/>
  <c r="C66" i="10"/>
  <c r="D25" i="4"/>
  <c r="F25" i="4"/>
  <c r="G25" i="4"/>
  <c r="D17" i="4"/>
  <c r="D16" i="4"/>
  <c r="D14" i="4"/>
  <c r="D13" i="4"/>
  <c r="D12" i="4"/>
  <c r="D10" i="4"/>
  <c r="D9" i="4"/>
  <c r="D8" i="4"/>
  <c r="D7" i="4"/>
  <c r="D4" i="4"/>
  <c r="D8" i="5"/>
  <c r="D7" i="5"/>
  <c r="D4" i="5"/>
  <c r="C57" i="10"/>
  <c r="D11" i="4"/>
  <c r="D18" i="4"/>
  <c r="C60" i="10"/>
  <c r="D21" i="4"/>
  <c r="D22" i="4"/>
  <c r="D6" i="4"/>
  <c r="C62" i="10"/>
  <c r="C65" i="10"/>
  <c r="D24" i="4"/>
  <c r="F24" i="4"/>
  <c r="G24" i="4"/>
  <c r="C67" i="10"/>
  <c r="D26" i="4"/>
  <c r="F26" i="4"/>
  <c r="G26" i="4"/>
  <c r="C68" i="10"/>
  <c r="D27" i="4"/>
  <c r="F27" i="4"/>
  <c r="G27" i="4"/>
  <c r="C69" i="10"/>
  <c r="D28" i="4"/>
  <c r="F28" i="4"/>
  <c r="G28" i="4"/>
  <c r="C73" i="10"/>
  <c r="D32" i="4"/>
  <c r="J30" i="4"/>
  <c r="K30" i="4"/>
  <c r="C74" i="10"/>
  <c r="D33" i="4"/>
  <c r="C80" i="10"/>
  <c r="D34" i="4"/>
  <c r="C81" i="10"/>
  <c r="D35" i="4"/>
  <c r="J35" i="4"/>
  <c r="K35" i="4"/>
  <c r="C85" i="10"/>
  <c r="D36" i="4"/>
  <c r="F36" i="4"/>
  <c r="G36" i="4"/>
  <c r="C86" i="10"/>
  <c r="D37" i="4"/>
  <c r="F37" i="4"/>
  <c r="G37" i="4"/>
  <c r="C87" i="10"/>
  <c r="D38" i="4"/>
  <c r="F38" i="4"/>
  <c r="G38" i="4"/>
  <c r="C72" i="10"/>
  <c r="D39" i="4"/>
  <c r="G39" i="4"/>
  <c r="C93" i="10"/>
  <c r="D40" i="4"/>
  <c r="C84" i="10"/>
  <c r="D41" i="4"/>
  <c r="B41" i="4"/>
  <c r="C94" i="10"/>
  <c r="D42" i="4"/>
  <c r="F42" i="4"/>
  <c r="G42" i="4"/>
  <c r="C89" i="10"/>
  <c r="E3" i="5"/>
  <c r="F25" i="5"/>
  <c r="G25" i="5"/>
  <c r="C61" i="10"/>
  <c r="D5" i="5"/>
  <c r="D10" i="5"/>
  <c r="F10" i="5"/>
  <c r="D12" i="5"/>
  <c r="F12" i="5"/>
  <c r="D13" i="5"/>
  <c r="F13" i="5"/>
  <c r="F14" i="5"/>
  <c r="C77" i="10"/>
  <c r="D17" i="5"/>
  <c r="J15" i="5"/>
  <c r="K15" i="5"/>
  <c r="B78" i="10"/>
  <c r="C78" i="10"/>
  <c r="D18" i="5"/>
  <c r="D19" i="5"/>
  <c r="D20" i="5"/>
  <c r="F20" i="5"/>
  <c r="G20" i="5"/>
  <c r="J20" i="5"/>
  <c r="K20" i="5"/>
  <c r="D21" i="5"/>
  <c r="F21" i="5"/>
  <c r="G21" i="5"/>
  <c r="D22" i="5"/>
  <c r="F22" i="5"/>
  <c r="G22" i="5"/>
  <c r="D23" i="5"/>
  <c r="F23" i="5"/>
  <c r="G23" i="5"/>
  <c r="D24" i="5"/>
  <c r="D26" i="5"/>
  <c r="B26" i="5"/>
  <c r="F26" i="5"/>
  <c r="G26" i="5"/>
  <c r="D27" i="5"/>
  <c r="F27" i="5"/>
  <c r="G27" i="5"/>
  <c r="J12" i="3"/>
  <c r="K12" i="3"/>
  <c r="E3" i="3"/>
  <c r="E3" i="4"/>
  <c r="F10" i="4"/>
  <c r="G10" i="4"/>
  <c r="E3" i="2"/>
  <c r="F4" i="2"/>
  <c r="I9" i="4"/>
  <c r="I8" i="4"/>
  <c r="I7" i="4"/>
  <c r="I6" i="4"/>
  <c r="I22" i="4"/>
  <c r="I21" i="4"/>
  <c r="I20" i="4"/>
  <c r="I18" i="4"/>
  <c r="I13" i="4"/>
  <c r="I12" i="4"/>
  <c r="I11" i="4"/>
  <c r="I10" i="4"/>
  <c r="I43" i="4"/>
  <c r="C64" i="10"/>
  <c r="D6" i="3"/>
  <c r="F6" i="3"/>
  <c r="D7" i="3"/>
  <c r="F7" i="3"/>
  <c r="I7" i="3"/>
  <c r="D9" i="3"/>
  <c r="F9" i="3"/>
  <c r="D10" i="3"/>
  <c r="F10" i="3"/>
  <c r="I10" i="3"/>
  <c r="H23" i="3"/>
  <c r="F4" i="3"/>
  <c r="F5" i="3"/>
  <c r="D11" i="3"/>
  <c r="F11" i="3"/>
  <c r="I11" i="3"/>
  <c r="D14" i="3"/>
  <c r="C75" i="10"/>
  <c r="D15" i="3"/>
  <c r="D16" i="3"/>
  <c r="D17" i="3"/>
  <c r="F17" i="3"/>
  <c r="G17" i="3"/>
  <c r="D18" i="3"/>
  <c r="F18" i="3"/>
  <c r="G18" i="3"/>
  <c r="D19" i="3"/>
  <c r="F19" i="3"/>
  <c r="G19" i="3"/>
  <c r="D20" i="3"/>
  <c r="F20" i="3"/>
  <c r="G20" i="3"/>
  <c r="D21" i="3"/>
  <c r="F21" i="3"/>
  <c r="G21" i="3"/>
  <c r="D22" i="3"/>
  <c r="F22" i="3"/>
  <c r="G22" i="3"/>
  <c r="H35" i="2"/>
  <c r="C58" i="10"/>
  <c r="D6" i="2"/>
  <c r="F6" i="2"/>
  <c r="F7" i="2"/>
  <c r="F8" i="2"/>
  <c r="F9" i="2"/>
  <c r="D10" i="2"/>
  <c r="F10" i="2"/>
  <c r="F11" i="2"/>
  <c r="F12" i="2"/>
  <c r="F13" i="2"/>
  <c r="F14" i="2"/>
  <c r="D15" i="2"/>
  <c r="F15" i="2"/>
  <c r="C59" i="10"/>
  <c r="D16" i="2"/>
  <c r="F16" i="2"/>
  <c r="D17" i="2"/>
  <c r="F17" i="2"/>
  <c r="D19" i="2"/>
  <c r="F19" i="2"/>
  <c r="D21" i="2"/>
  <c r="F21" i="2"/>
  <c r="D22" i="2"/>
  <c r="F22" i="2"/>
  <c r="D23" i="2"/>
  <c r="F23" i="2"/>
  <c r="J24" i="2"/>
  <c r="K24" i="2"/>
  <c r="D26" i="2"/>
  <c r="D27" i="2"/>
  <c r="D28" i="2"/>
  <c r="D29" i="2"/>
  <c r="F29" i="2"/>
  <c r="D30" i="2"/>
  <c r="F30" i="2"/>
  <c r="D31" i="2"/>
  <c r="F31" i="2"/>
  <c r="D32" i="2"/>
  <c r="F32" i="2"/>
  <c r="D33" i="2"/>
  <c r="F33" i="2"/>
  <c r="D34" i="2"/>
  <c r="F34" i="2"/>
  <c r="H43" i="4"/>
  <c r="H28" i="5"/>
  <c r="E61" i="13"/>
  <c r="B63" i="13"/>
  <c r="D62" i="13"/>
  <c r="C66" i="13"/>
  <c r="B66" i="13"/>
  <c r="D65" i="13"/>
  <c r="E65" i="13"/>
  <c r="C67" i="13"/>
  <c r="D66" i="13"/>
  <c r="B65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B64" i="13"/>
  <c r="B62" i="13"/>
  <c r="B61" i="13"/>
  <c r="C82" i="10"/>
  <c r="C83" i="10"/>
  <c r="C102" i="10"/>
  <c r="F4" i="11"/>
  <c r="C103" i="10"/>
  <c r="F5" i="11"/>
  <c r="C101" i="10"/>
  <c r="F3" i="11"/>
  <c r="A2" i="4"/>
  <c r="A2" i="2"/>
  <c r="G34" i="2"/>
  <c r="G33" i="2"/>
  <c r="G32" i="2"/>
  <c r="G31" i="2"/>
  <c r="G30" i="2"/>
  <c r="G29" i="2"/>
  <c r="G25" i="2"/>
  <c r="G23" i="2"/>
  <c r="G22" i="2"/>
  <c r="G21" i="2"/>
  <c r="G19" i="2"/>
  <c r="G17" i="2"/>
  <c r="G16" i="2"/>
  <c r="G15" i="2"/>
  <c r="G14" i="2"/>
  <c r="G13" i="2"/>
  <c r="G12" i="2"/>
  <c r="G11" i="2"/>
  <c r="G10" i="2"/>
  <c r="G9" i="2"/>
  <c r="G8" i="2"/>
  <c r="G7" i="2"/>
  <c r="G6" i="2"/>
  <c r="G4" i="2"/>
  <c r="F2" i="2"/>
  <c r="G13" i="3"/>
  <c r="G11" i="3"/>
  <c r="G10" i="3"/>
  <c r="G7" i="3"/>
  <c r="G6" i="3"/>
  <c r="G5" i="3"/>
  <c r="G4" i="3"/>
  <c r="F2" i="3"/>
  <c r="C63" i="10"/>
  <c r="G16" i="5"/>
  <c r="F2" i="5"/>
  <c r="G31" i="4"/>
  <c r="C88" i="10"/>
  <c r="C71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5" i="10"/>
  <c r="B56" i="10"/>
  <c r="C56" i="10"/>
  <c r="B79" i="10"/>
  <c r="C79" i="10"/>
  <c r="C90" i="10"/>
  <c r="C91" i="10"/>
  <c r="C96" i="10"/>
  <c r="C104" i="10"/>
  <c r="C105" i="10"/>
  <c r="B75" i="13"/>
  <c r="C75" i="13"/>
  <c r="D75" i="13"/>
  <c r="E75" i="13"/>
  <c r="F75" i="13"/>
  <c r="G75" i="13"/>
  <c r="H75" i="13"/>
  <c r="I75" i="13"/>
  <c r="J75" i="13"/>
  <c r="K75" i="13"/>
  <c r="L75" i="13"/>
  <c r="B78" i="13"/>
  <c r="B79" i="13"/>
  <c r="B80" i="13"/>
  <c r="B81" i="13"/>
  <c r="B82" i="13"/>
  <c r="G3" i="12"/>
  <c r="H3" i="12"/>
  <c r="H5" i="12"/>
  <c r="G4" i="12"/>
  <c r="H4" i="12"/>
  <c r="F5" i="12"/>
  <c r="B7" i="12"/>
  <c r="D14" i="12"/>
  <c r="D15" i="12"/>
  <c r="D16" i="12"/>
  <c r="E16" i="12"/>
  <c r="F16" i="12"/>
  <c r="F20" i="12"/>
  <c r="D27" i="12"/>
  <c r="D28" i="12"/>
  <c r="D29" i="12"/>
  <c r="E29" i="12"/>
  <c r="F29" i="12"/>
  <c r="F33" i="12"/>
  <c r="G3" i="11"/>
  <c r="H3" i="11"/>
  <c r="G4" i="11"/>
  <c r="H4" i="11"/>
  <c r="G5" i="11"/>
  <c r="H5" i="11"/>
  <c r="F2" i="4"/>
  <c r="D18" i="2"/>
  <c r="F18" i="2"/>
  <c r="G18" i="2"/>
  <c r="B13" i="3"/>
  <c r="B14" i="3"/>
  <c r="F14" i="3"/>
  <c r="G14" i="3"/>
  <c r="B15" i="3"/>
  <c r="B16" i="3"/>
  <c r="F16" i="3"/>
  <c r="G16" i="3"/>
  <c r="I9" i="3"/>
  <c r="G9" i="3"/>
  <c r="F15" i="3"/>
  <c r="G15" i="3"/>
  <c r="E62" i="13"/>
  <c r="E67" i="13"/>
  <c r="D67" i="13"/>
  <c r="I6" i="3"/>
  <c r="I23" i="3"/>
  <c r="I24" i="3"/>
  <c r="B25" i="2"/>
  <c r="B27" i="2"/>
  <c r="F27" i="2"/>
  <c r="G27" i="2"/>
  <c r="B28" i="2"/>
  <c r="F28" i="2"/>
  <c r="G28" i="2"/>
  <c r="G40" i="4"/>
  <c r="E26" i="13"/>
  <c r="E31" i="13"/>
  <c r="D31" i="13"/>
  <c r="F8" i="4"/>
  <c r="G8" i="4"/>
  <c r="F4" i="4"/>
  <c r="G4" i="4"/>
  <c r="D20" i="2"/>
  <c r="F20" i="2"/>
  <c r="D11" i="5"/>
  <c r="F11" i="5"/>
  <c r="G11" i="5"/>
  <c r="F9" i="5"/>
  <c r="I9" i="5"/>
  <c r="D8" i="3"/>
  <c r="F8" i="3"/>
  <c r="G8" i="3"/>
  <c r="B26" i="2"/>
  <c r="F26" i="2"/>
  <c r="G26" i="2"/>
  <c r="G20" i="2"/>
  <c r="F35" i="2"/>
  <c r="G35" i="2"/>
  <c r="G36" i="2"/>
  <c r="F23" i="3"/>
  <c r="G23" i="3"/>
  <c r="G24" i="3"/>
  <c r="G14" i="5"/>
  <c r="G12" i="5"/>
  <c r="G9" i="5"/>
  <c r="G13" i="5"/>
  <c r="G10" i="5"/>
  <c r="F35" i="4"/>
  <c r="G35" i="4"/>
  <c r="F41" i="4"/>
  <c r="G41" i="4"/>
  <c r="F12" i="4"/>
  <c r="G12" i="4"/>
  <c r="F14" i="4"/>
  <c r="G14" i="4"/>
  <c r="F16" i="4"/>
  <c r="G16" i="4"/>
  <c r="F21" i="4"/>
  <c r="G21" i="4"/>
  <c r="F22" i="4"/>
  <c r="G22" i="4"/>
  <c r="F7" i="4"/>
  <c r="G7" i="4"/>
  <c r="F9" i="4"/>
  <c r="G9" i="4"/>
  <c r="F6" i="4"/>
  <c r="G6" i="4"/>
  <c r="F11" i="4"/>
  <c r="G11" i="4"/>
  <c r="F13" i="4"/>
  <c r="G13" i="4"/>
  <c r="F15" i="4"/>
  <c r="G15" i="4"/>
  <c r="F17" i="4"/>
  <c r="G17" i="4"/>
  <c r="F18" i="4"/>
  <c r="G18" i="4"/>
  <c r="F19" i="4"/>
  <c r="G19" i="4"/>
  <c r="G23" i="4"/>
  <c r="B33" i="4"/>
  <c r="F33" i="4"/>
  <c r="G33" i="4"/>
  <c r="B31" i="4"/>
  <c r="B32" i="4"/>
  <c r="B34" i="4"/>
  <c r="F34" i="4"/>
  <c r="G34" i="4"/>
  <c r="F32" i="4"/>
  <c r="F43" i="4"/>
  <c r="G32" i="4"/>
  <c r="G43" i="4"/>
  <c r="G44" i="4"/>
  <c r="F7" i="5"/>
  <c r="G7" i="5"/>
  <c r="B16" i="5"/>
  <c r="F5" i="5"/>
  <c r="F8" i="5"/>
  <c r="I8" i="5"/>
  <c r="I6" i="5"/>
  <c r="B19" i="5"/>
  <c r="F19" i="5"/>
  <c r="G19" i="5"/>
  <c r="B18" i="5"/>
  <c r="F18" i="5"/>
  <c r="G18" i="5"/>
  <c r="G5" i="5"/>
  <c r="F6" i="5"/>
  <c r="G6" i="5"/>
  <c r="B17" i="5"/>
  <c r="F17" i="5"/>
  <c r="G17" i="5"/>
  <c r="G8" i="5"/>
  <c r="F24" i="5"/>
  <c r="G24" i="5"/>
  <c r="I28" i="5"/>
  <c r="I29" i="5"/>
  <c r="F4" i="5"/>
  <c r="G4" i="5"/>
  <c r="F28" i="5"/>
  <c r="G28" i="5"/>
  <c r="G29" i="5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18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  <author>Niels Kjeldsen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Hvis du har valt løn i stedet for pension i Frit Valgs-ordningen: skriv 1 her.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Kun for PD og cand.pæd.</t>
        </r>
      </text>
    </comment>
    <comment ref="A12" authorId="2">
      <text>
        <r>
          <rPr>
            <b/>
            <sz val="8"/>
            <color indexed="81"/>
            <rFont val="Tahoma"/>
            <family val="2"/>
          </rPr>
          <t>Lærere ansat i PPR til bl.a. særlig indsats på skolerne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Lærere med bl.a. visse undervisningsopgaver ift andre lærere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Kun TR og SI på Ny Løn - kompensation for manglende uv.-tillæg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Se eventuelt aktivitetsplanen. Der er en sammentælling til sidst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Skriv timer,minutter   Fx 2:30 på aktivitetsplanen skrives som 2,30</t>
        </r>
        <r>
          <rPr>
            <sz val="8"/>
            <color indexed="81"/>
            <rFont val="Tahoma"/>
            <family val="2"/>
          </rPr>
          <t xml:space="preserve">
Programmet omregner selv
 til 2,50 time 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<sst xmlns="http://schemas.openxmlformats.org/spreadsheetml/2006/main" count="529" uniqueCount="166">
  <si>
    <t>LØNTABEL</t>
  </si>
  <si>
    <t>pr.31.3.00</t>
  </si>
  <si>
    <t>I alt</t>
  </si>
  <si>
    <t>SM</t>
  </si>
  <si>
    <t>lejrskole, hv</t>
  </si>
  <si>
    <t>lejrskole, lsh</t>
  </si>
  <si>
    <t>akkord</t>
  </si>
  <si>
    <t>Funklærer</t>
  </si>
  <si>
    <t>I ALT</t>
  </si>
  <si>
    <t>Øvelseslæ</t>
  </si>
  <si>
    <t>Skps u auto</t>
  </si>
  <si>
    <t>Lærer, Ny Løn</t>
  </si>
  <si>
    <t>Undervisningstimer</t>
  </si>
  <si>
    <t>UVT NL 1</t>
  </si>
  <si>
    <t>læ + bh 300-750</t>
  </si>
  <si>
    <t>UVT NL 2</t>
  </si>
  <si>
    <t>læ &gt;750, bh &gt;836</t>
  </si>
  <si>
    <t>UVT NL 3</t>
  </si>
  <si>
    <t>bh 750-836</t>
  </si>
  <si>
    <t>UVT AL 1</t>
  </si>
  <si>
    <t>UVT AL 2</t>
  </si>
  <si>
    <t>UVT AL 3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</si>
  <si>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</si>
  <si>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</si>
  <si>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</si>
  <si>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</si>
  <si>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</si>
  <si>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</si>
  <si>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</si>
  <si>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</si>
  <si>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</si>
  <si>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</si>
  <si>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LEJRSKOLE</t>
  </si>
  <si>
    <t>DATO:</t>
  </si>
  <si>
    <t>KLASSE:</t>
  </si>
  <si>
    <t>Real time</t>
  </si>
  <si>
    <t>Tælles som</t>
  </si>
  <si>
    <t>Antal timer på førstedagen:</t>
  </si>
  <si>
    <t>Antal mellemdage:</t>
  </si>
  <si>
    <t>Antal timer på sidstedagen:</t>
  </si>
  <si>
    <t>Antal hverdage i alt:</t>
  </si>
  <si>
    <t>Antal lør/søn/helligdage i alt:</t>
  </si>
  <si>
    <t>Specialklasse? - skriv 1 her:</t>
  </si>
  <si>
    <t>MÅNEDSLØN</t>
  </si>
  <si>
    <t>ÅRSLØN</t>
  </si>
  <si>
    <t>Hvis du tager på 3 lejrskoler er det for meget!</t>
  </si>
  <si>
    <t>Kontakt skolelederen og IT-eksperten…</t>
  </si>
  <si>
    <t>Beskæftigelsesgrad:</t>
  </si>
  <si>
    <t>Lønsats pr:</t>
  </si>
  <si>
    <t>TIMELØNNEDE</t>
  </si>
  <si>
    <t>UDDANNEDE LÆRERE</t>
  </si>
  <si>
    <t>UDDANNEDE BØRNEHAVEKLASSELEDERE</t>
  </si>
  <si>
    <t>IKKE UDDANNEDE</t>
  </si>
  <si>
    <t>do ikke udd</t>
  </si>
  <si>
    <t>Timelø.udd</t>
  </si>
  <si>
    <t>Centralt</t>
  </si>
  <si>
    <t>Ballerup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</si>
  <si>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</si>
  <si>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</si>
  <si>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</si>
  <si>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</si>
  <si>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</si>
  <si>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</si>
  <si>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</si>
  <si>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</si>
  <si>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</si>
  <si>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</si>
  <si>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</si>
  <si>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</si>
  <si>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</si>
  <si>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</si>
  <si>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</si>
  <si>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</si>
  <si>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</si>
  <si>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Uv-timer 0.-300. t.**</t>
  </si>
  <si>
    <t>Uv-timer 300.-750. t.**</t>
  </si>
  <si>
    <t>Uv-timer 750.-836. t.**</t>
  </si>
  <si>
    <t>Uv-timer over 836. t.**</t>
  </si>
  <si>
    <t>Uv-timer over 750. t.**</t>
  </si>
  <si>
    <t>§ 8.1 FÆPU</t>
  </si>
  <si>
    <t>§ 8.2 PÆME</t>
  </si>
  <si>
    <t>§ 8.3 TR</t>
  </si>
  <si>
    <t>UVT UUM</t>
  </si>
  <si>
    <t>læ &gt; 681</t>
  </si>
  <si>
    <t>OK § 5B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</si>
  <si>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</si>
  <si>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</si>
  <si>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</si>
  <si>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</si>
  <si>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</si>
  <si>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</si>
  <si>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</si>
  <si>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</si>
  <si>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</si>
  <si>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</si>
  <si>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</si>
  <si>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</si>
  <si>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</si>
  <si>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</si>
  <si>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§5,9 bhkl</t>
  </si>
  <si>
    <t>Centralt tillæg</t>
  </si>
  <si>
    <t>0-3 års anciennitet</t>
  </si>
  <si>
    <t>4-7 års anciennitet</t>
  </si>
  <si>
    <t>8-11 års anciennitet</t>
  </si>
  <si>
    <t>OK §5, 3</t>
  </si>
  <si>
    <t>Uv-vejleder</t>
  </si>
  <si>
    <t>pr. år</t>
  </si>
  <si>
    <t>Min. 12 års ancien.</t>
  </si>
  <si>
    <t>§ 2,1 4 løntrin</t>
  </si>
  <si>
    <t>§ 2,2 2 løntrin</t>
  </si>
  <si>
    <t>§ 3,1</t>
  </si>
  <si>
    <t>§ 4 PDCP</t>
  </si>
  <si>
    <t>OK § 5,3 specialskole</t>
  </si>
  <si>
    <t>Lærer, Lukkede gruppe</t>
  </si>
  <si>
    <t>§ 3,2</t>
  </si>
  <si>
    <t>§ 3,3</t>
  </si>
  <si>
    <t>Uv-timer over 681 kun UM</t>
  </si>
  <si>
    <t>Akkordtimer</t>
  </si>
  <si>
    <t>Pro 2,1 Fællespuljelærer</t>
  </si>
  <si>
    <t>Pro 2,2 Pæd. medhjælp</t>
  </si>
  <si>
    <t>Undervisningsvejleder</t>
  </si>
  <si>
    <t>Pro 2,3 TR/SI-repræsent.</t>
  </si>
  <si>
    <t>Bhkl., Lukkede gruppe</t>
  </si>
  <si>
    <t>§ 3 Særligt tillæg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</si>
  <si>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</si>
  <si>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</si>
  <si>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</si>
  <si>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</si>
  <si>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</si>
  <si>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</si>
  <si>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Blå tekst: lokal aftale</t>
  </si>
  <si>
    <t>Sort tekst: central aftale</t>
  </si>
  <si>
    <t>Se "farven på lønnen":</t>
  </si>
  <si>
    <t>Frit valg</t>
  </si>
  <si>
    <t>§ 2,1 3 løntrin</t>
  </si>
  <si>
    <t>§ 2,1 1 løntrin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</si>
  <si>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</si>
  <si>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</si>
  <si>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</si>
  <si>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</si>
  <si>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</si>
  <si>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</si>
  <si>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Grå tekst: pensionsbidrag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</si>
  <si>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</si>
  <si>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</si>
  <si>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 xml:space="preserve">Undtagelser:  heldagsskolelærere, øvelsesskolelærere, flexjobbere, kombinationsbeskæftigede, frikøbte til organisationsarbejde og andre med særlige vilkår skal håndberegnes.                                               Spørg TR eller kredskontoret </t>
  </si>
  <si>
    <t>Uv-timer 0.-300. t.</t>
  </si>
  <si>
    <t>Uv-timer 300.-750. t.</t>
  </si>
  <si>
    <t>Uv-timer over 750. t.</t>
  </si>
  <si>
    <t>Pensions-bidrag pr år</t>
  </si>
  <si>
    <t xml:space="preserve">pr md </t>
  </si>
  <si>
    <t>Venlig hilsen BLF</t>
  </si>
  <si>
    <t>FORBEREDELSER</t>
  </si>
  <si>
    <t>Du skal have to papirer parat:</t>
  </si>
  <si>
    <t>* din aktivitetsplan</t>
  </si>
  <si>
    <t>* din lønseddel</t>
  </si>
  <si>
    <t>Brun tekst: tal fra din lønseddel</t>
  </si>
  <si>
    <t>KREATIV BOGFØRING</t>
  </si>
  <si>
    <t>Lærer på Maglemosen</t>
  </si>
  <si>
    <t xml:space="preserve">På aktivitesplanen angives undervisnings- og akkordtimer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</si>
  <si>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1.4.2010</t>
  </si>
  <si>
    <t>§ 5 Koordtill</t>
  </si>
  <si>
    <t>§ 5 Koordineringstillæg</t>
  </si>
  <si>
    <t>§ 4 Uddannelse</t>
  </si>
  <si>
    <t>Lærere på OI, LA og KA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</si>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</sst>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0_)"/>
    <numFmt numFmtId="166" formatCode="0.000000"/>
    <numFmt numFmtId="167" formatCode="0.0"/>
    <numFmt numFmtId="168" formatCode="0.000"/>
    <numFmt numFmtId="169" formatCode="#,##0.0"/>
    <numFmt numFmtId="170" formatCode="#,##0.000"/>
    <numFmt numFmtId="171" formatCode="_(* #,##0.000000_);_(* \(#,##0.000000\);_(* &quot;-&quot;??_);_(@_)"/>
    <numFmt numFmtId="172" formatCode="_(* #,##0_);_(* \(#,##0\);_(* &quot;-&quot;??_);_(@_)"/>
  </numFmts>
  <fonts count="49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TimesNewRomanPS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sz val="12"/>
      <color indexed="55"/>
      <name val="Arial"/>
      <family val="2"/>
    </font>
    <font>
      <i/>
      <sz val="11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165" fontId="0" fillId="0" borderId="0" xfId="0" applyNumberFormat="1" applyProtection="1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1" fontId="0" fillId="0" borderId="0" xfId="1" applyNumberFormat="1" applyFont="1" applyBorder="1" applyProtection="1"/>
    <xf numFmtId="171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164" fontId="4" fillId="2" borderId="0" xfId="1" applyFont="1" applyFill="1"/>
    <xf numFmtId="164" fontId="0" fillId="2" borderId="0" xfId="1" applyFont="1" applyFill="1"/>
    <xf numFmtId="0" fontId="0" fillId="2" borderId="0" xfId="0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9" fillId="0" borderId="0" xfId="0" applyNumberFormat="1" applyFont="1"/>
    <xf numFmtId="0" fontId="8" fillId="0" borderId="2" xfId="0" applyFont="1" applyBorder="1"/>
    <xf numFmtId="0" fontId="8" fillId="0" borderId="3" xfId="0" applyFont="1" applyBorder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1" fillId="0" borderId="0" xfId="0" applyNumberFormat="1" applyFont="1"/>
    <xf numFmtId="0" fontId="8" fillId="3" borderId="12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166" fontId="0" fillId="0" borderId="16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164" fontId="0" fillId="0" borderId="17" xfId="1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8" xfId="0" applyBorder="1"/>
    <xf numFmtId="0" fontId="0" fillId="0" borderId="19" xfId="0" applyBorder="1"/>
    <xf numFmtId="164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20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2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/>
    </xf>
    <xf numFmtId="164" fontId="0" fillId="0" borderId="21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171" fontId="0" fillId="0" borderId="16" xfId="1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6" xfId="0" applyBorder="1"/>
    <xf numFmtId="0" fontId="3" fillId="0" borderId="16" xfId="0" applyFont="1" applyBorder="1" applyAlignment="1">
      <alignment horizontal="center"/>
    </xf>
    <xf numFmtId="164" fontId="12" fillId="0" borderId="16" xfId="1" applyFont="1" applyBorder="1" applyProtection="1"/>
    <xf numFmtId="4" fontId="16" fillId="0" borderId="0" xfId="0" applyNumberFormat="1" applyFont="1"/>
    <xf numFmtId="39" fontId="18" fillId="0" borderId="22" xfId="0" applyNumberFormat="1" applyFont="1" applyBorder="1" applyProtection="1"/>
    <xf numFmtId="39" fontId="18" fillId="0" borderId="0" xfId="0" applyNumberFormat="1" applyFont="1" applyBorder="1" applyProtection="1"/>
    <xf numFmtId="39" fontId="18" fillId="0" borderId="23" xfId="0" applyNumberFormat="1" applyFont="1" applyBorder="1" applyProtection="1"/>
    <xf numFmtId="39" fontId="18" fillId="0" borderId="24" xfId="0" applyNumberFormat="1" applyFont="1" applyBorder="1" applyProtection="1"/>
    <xf numFmtId="39" fontId="18" fillId="0" borderId="1" xfId="0" applyNumberFormat="1" applyFont="1" applyBorder="1" applyProtection="1"/>
    <xf numFmtId="39" fontId="18" fillId="0" borderId="25" xfId="0" applyNumberFormat="1" applyFont="1" applyBorder="1" applyProtection="1"/>
    <xf numFmtId="39" fontId="18" fillId="2" borderId="24" xfId="0" applyNumberFormat="1" applyFont="1" applyFill="1" applyBorder="1" applyProtection="1"/>
    <xf numFmtId="39" fontId="18" fillId="2" borderId="1" xfId="0" applyNumberFormat="1" applyFont="1" applyFill="1" applyBorder="1" applyProtection="1"/>
    <xf numFmtId="17" fontId="0" fillId="0" borderId="0" xfId="0" applyNumberFormat="1"/>
    <xf numFmtId="0" fontId="0" fillId="0" borderId="12" xfId="0" applyBorder="1"/>
    <xf numFmtId="167" fontId="0" fillId="0" borderId="26" xfId="0" applyNumberFormat="1" applyBorder="1"/>
    <xf numFmtId="167" fontId="0" fillId="0" borderId="27" xfId="0" applyNumberFormat="1" applyBorder="1"/>
    <xf numFmtId="167" fontId="3" fillId="0" borderId="28" xfId="0" applyNumberFormat="1" applyFont="1" applyBorder="1"/>
    <xf numFmtId="3" fontId="11" fillId="0" borderId="0" xfId="0" applyNumberFormat="1" applyFont="1"/>
    <xf numFmtId="3" fontId="5" fillId="0" borderId="0" xfId="0" applyNumberFormat="1" applyFont="1"/>
    <xf numFmtId="3" fontId="10" fillId="0" borderId="29" xfId="0" applyNumberFormat="1" applyFont="1" applyBorder="1"/>
    <xf numFmtId="3" fontId="15" fillId="0" borderId="0" xfId="0" applyNumberFormat="1" applyFont="1" applyAlignment="1">
      <alignment horizontal="center"/>
    </xf>
    <xf numFmtId="4" fontId="21" fillId="0" borderId="0" xfId="0" applyNumberFormat="1" applyFont="1" applyFill="1"/>
    <xf numFmtId="4" fontId="16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1" fontId="16" fillId="3" borderId="30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Border="1" applyAlignment="1">
      <alignment horizontal="left"/>
    </xf>
    <xf numFmtId="2" fontId="15" fillId="0" borderId="18" xfId="0" applyNumberFormat="1" applyFont="1" applyFill="1" applyBorder="1" applyAlignment="1">
      <alignment horizontal="left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24" fillId="0" borderId="0" xfId="0" applyNumberFormat="1" applyFont="1" applyFill="1"/>
    <xf numFmtId="1" fontId="16" fillId="0" borderId="0" xfId="0" applyNumberFormat="1" applyFont="1" applyFill="1" applyAlignment="1">
      <alignment horizontal="center"/>
    </xf>
    <xf numFmtId="4" fontId="20" fillId="0" borderId="0" xfId="0" applyNumberFormat="1" applyFont="1"/>
    <xf numFmtId="2" fontId="20" fillId="0" borderId="0" xfId="0" applyNumberFormat="1" applyFont="1" applyFill="1" applyAlignment="1">
      <alignment horizontal="right"/>
    </xf>
    <xf numFmtId="2" fontId="20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right"/>
    </xf>
    <xf numFmtId="1" fontId="20" fillId="3" borderId="28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Alignment="1">
      <alignment horizontal="left"/>
    </xf>
    <xf numFmtId="2" fontId="16" fillId="3" borderId="3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2" fontId="16" fillId="3" borderId="26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 applyProtection="1">
      <alignment horizontal="center"/>
      <protection locked="0"/>
    </xf>
    <xf numFmtId="4" fontId="25" fillId="0" borderId="30" xfId="0" applyNumberFormat="1" applyFont="1" applyBorder="1"/>
    <xf numFmtId="4" fontId="16" fillId="0" borderId="34" xfId="0" applyNumberFormat="1" applyFont="1" applyBorder="1"/>
    <xf numFmtId="4" fontId="20" fillId="0" borderId="34" xfId="0" applyNumberFormat="1" applyFont="1" applyBorder="1"/>
    <xf numFmtId="4" fontId="16" fillId="0" borderId="35" xfId="0" applyNumberFormat="1" applyFont="1" applyBorder="1"/>
    <xf numFmtId="4" fontId="20" fillId="0" borderId="35" xfId="0" applyNumberFormat="1" applyFont="1" applyBorder="1"/>
    <xf numFmtId="169" fontId="16" fillId="0" borderId="27" xfId="0" applyNumberFormat="1" applyFont="1" applyFill="1" applyBorder="1" applyAlignment="1">
      <alignment horizontal="right"/>
    </xf>
    <xf numFmtId="4" fontId="22" fillId="0" borderId="30" xfId="0" applyNumberFormat="1" applyFont="1" applyBorder="1" applyAlignment="1">
      <alignment horizontal="center"/>
    </xf>
    <xf numFmtId="2" fontId="16" fillId="0" borderId="36" xfId="0" applyNumberFormat="1" applyFont="1" applyFill="1" applyBorder="1" applyAlignment="1">
      <alignment horizontal="left"/>
    </xf>
    <xf numFmtId="4" fontId="16" fillId="0" borderId="36" xfId="0" applyNumberFormat="1" applyFont="1" applyFill="1" applyBorder="1" applyAlignment="1">
      <alignment horizontal="right"/>
    </xf>
    <xf numFmtId="4" fontId="16" fillId="0" borderId="37" xfId="0" applyNumberFormat="1" applyFont="1" applyFill="1" applyBorder="1" applyAlignment="1">
      <alignment horizontal="left"/>
    </xf>
    <xf numFmtId="4" fontId="16" fillId="0" borderId="2" xfId="0" applyNumberFormat="1" applyFont="1" applyFill="1" applyBorder="1" applyAlignment="1">
      <alignment horizontal="left"/>
    </xf>
    <xf numFmtId="4" fontId="20" fillId="0" borderId="2" xfId="0" applyNumberFormat="1" applyFont="1" applyFill="1" applyBorder="1" applyAlignment="1">
      <alignment horizontal="left"/>
    </xf>
    <xf numFmtId="3" fontId="19" fillId="0" borderId="38" xfId="0" applyNumberFormat="1" applyFont="1" applyBorder="1" applyAlignment="1">
      <alignment horizontal="center"/>
    </xf>
    <xf numFmtId="4" fontId="20" fillId="0" borderId="38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left"/>
    </xf>
    <xf numFmtId="2" fontId="20" fillId="0" borderId="38" xfId="0" applyNumberFormat="1" applyFont="1" applyFill="1" applyBorder="1" applyAlignment="1">
      <alignment horizontal="left"/>
    </xf>
    <xf numFmtId="4" fontId="16" fillId="0" borderId="31" xfId="0" applyNumberFormat="1" applyFont="1" applyBorder="1"/>
    <xf numFmtId="2" fontId="16" fillId="0" borderId="32" xfId="0" applyNumberFormat="1" applyFont="1" applyFill="1" applyBorder="1" applyAlignment="1">
      <alignment horizontal="right"/>
    </xf>
    <xf numFmtId="2" fontId="16" fillId="0" borderId="32" xfId="0" applyNumberFormat="1" applyFont="1" applyFill="1" applyBorder="1" applyAlignment="1">
      <alignment horizontal="left"/>
    </xf>
    <xf numFmtId="4" fontId="16" fillId="0" borderId="32" xfId="0" applyNumberFormat="1" applyFont="1" applyFill="1" applyBorder="1" applyAlignment="1">
      <alignment horizontal="right"/>
    </xf>
    <xf numFmtId="4" fontId="16" fillId="0" borderId="33" xfId="0" applyNumberFormat="1" applyFont="1" applyFill="1" applyBorder="1" applyAlignment="1">
      <alignment horizontal="left"/>
    </xf>
    <xf numFmtId="4" fontId="16" fillId="0" borderId="36" xfId="0" applyNumberFormat="1" applyFont="1" applyBorder="1"/>
    <xf numFmtId="4" fontId="16" fillId="0" borderId="0" xfId="0" applyNumberFormat="1" applyFont="1" applyBorder="1"/>
    <xf numFmtId="4" fontId="20" fillId="0" borderId="0" xfId="0" applyNumberFormat="1" applyFont="1" applyBorder="1"/>
    <xf numFmtId="4" fontId="20" fillId="0" borderId="38" xfId="0" applyNumberFormat="1" applyFont="1" applyBorder="1"/>
    <xf numFmtId="4" fontId="23" fillId="0" borderId="0" xfId="0" applyNumberFormat="1" applyFont="1" applyBorder="1" applyAlignment="1">
      <alignment horizontal="center"/>
    </xf>
    <xf numFmtId="4" fontId="29" fillId="0" borderId="0" xfId="0" applyNumberFormat="1" applyFont="1" applyFill="1"/>
    <xf numFmtId="2" fontId="16" fillId="0" borderId="40" xfId="0" applyNumberFormat="1" applyFont="1" applyFill="1" applyBorder="1" applyAlignment="1">
      <alignment horizontal="right"/>
    </xf>
    <xf numFmtId="2" fontId="16" fillId="0" borderId="20" xfId="0" applyNumberFormat="1" applyFont="1" applyFill="1" applyBorder="1" applyAlignment="1">
      <alignment horizontal="right"/>
    </xf>
    <xf numFmtId="1" fontId="16" fillId="3" borderId="30" xfId="0" applyNumberFormat="1" applyFont="1" applyFill="1" applyBorder="1" applyAlignment="1">
      <alignment horizontal="center"/>
    </xf>
    <xf numFmtId="2" fontId="16" fillId="0" borderId="41" xfId="0" applyNumberFormat="1" applyFont="1" applyFill="1" applyBorder="1" applyAlignment="1">
      <alignment horizontal="right"/>
    </xf>
    <xf numFmtId="1" fontId="20" fillId="3" borderId="30" xfId="0" applyNumberFormat="1" applyFont="1" applyFill="1" applyBorder="1" applyAlignment="1" applyProtection="1">
      <alignment horizontal="center"/>
      <protection locked="0"/>
    </xf>
    <xf numFmtId="1" fontId="20" fillId="3" borderId="28" xfId="0" applyNumberFormat="1" applyFont="1" applyFill="1" applyBorder="1" applyAlignment="1" applyProtection="1">
      <alignment horizontal="center"/>
      <protection locked="0"/>
    </xf>
    <xf numFmtId="170" fontId="29" fillId="0" borderId="0" xfId="0" applyNumberFormat="1" applyFont="1" applyFill="1"/>
    <xf numFmtId="0" fontId="0" fillId="0" borderId="12" xfId="0" applyFill="1" applyBorder="1"/>
    <xf numFmtId="167" fontId="3" fillId="0" borderId="0" xfId="0" applyNumberFormat="1" applyFont="1" applyBorder="1"/>
    <xf numFmtId="4" fontId="22" fillId="0" borderId="31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right"/>
    </xf>
    <xf numFmtId="2" fontId="9" fillId="0" borderId="32" xfId="0" applyNumberFormat="1" applyFont="1" applyFill="1" applyBorder="1" applyAlignment="1">
      <alignment horizontal="left"/>
    </xf>
    <xf numFmtId="4" fontId="9" fillId="0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left"/>
    </xf>
    <xf numFmtId="4" fontId="16" fillId="0" borderId="42" xfId="0" applyNumberFormat="1" applyFont="1" applyBorder="1"/>
    <xf numFmtId="2" fontId="16" fillId="0" borderId="36" xfId="0" applyNumberFormat="1" applyFont="1" applyFill="1" applyBorder="1" applyAlignment="1">
      <alignment horizontal="right"/>
    </xf>
    <xf numFmtId="4" fontId="25" fillId="0" borderId="26" xfId="0" applyNumberFormat="1" applyFont="1" applyBorder="1"/>
    <xf numFmtId="4" fontId="9" fillId="0" borderId="32" xfId="0" applyNumberFormat="1" applyFont="1" applyBorder="1"/>
    <xf numFmtId="4" fontId="25" fillId="0" borderId="33" xfId="0" applyNumberFormat="1" applyFont="1" applyBorder="1"/>
    <xf numFmtId="2" fontId="17" fillId="0" borderId="0" xfId="0" applyNumberFormat="1" applyFont="1" applyFill="1" applyAlignment="1">
      <alignment horizontal="right"/>
    </xf>
    <xf numFmtId="4" fontId="22" fillId="0" borderId="0" xfId="0" applyNumberFormat="1" applyFont="1"/>
    <xf numFmtId="4" fontId="33" fillId="0" borderId="34" xfId="0" applyNumberFormat="1" applyFont="1" applyBorder="1"/>
    <xf numFmtId="4" fontId="33" fillId="0" borderId="35" xfId="0" applyNumberFormat="1" applyFont="1" applyBorder="1"/>
    <xf numFmtId="169" fontId="33" fillId="0" borderId="27" xfId="0" applyNumberFormat="1" applyFont="1" applyFill="1" applyBorder="1" applyAlignment="1">
      <alignment horizontal="right"/>
    </xf>
    <xf numFmtId="4" fontId="34" fillId="0" borderId="30" xfId="0" applyNumberFormat="1" applyFont="1" applyBorder="1"/>
    <xf numFmtId="0" fontId="36" fillId="0" borderId="0" xfId="0" applyFont="1"/>
    <xf numFmtId="0" fontId="28" fillId="4" borderId="38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28" fillId="4" borderId="39" xfId="0" applyFont="1" applyFill="1" applyBorder="1"/>
    <xf numFmtId="0" fontId="34" fillId="4" borderId="43" xfId="0" applyFont="1" applyFill="1" applyBorder="1"/>
    <xf numFmtId="0" fontId="39" fillId="4" borderId="3" xfId="0" applyFont="1" applyFill="1" applyBorder="1"/>
    <xf numFmtId="3" fontId="40" fillId="0" borderId="0" xfId="0" applyNumberFormat="1" applyFont="1"/>
    <xf numFmtId="4" fontId="40" fillId="0" borderId="0" xfId="0" applyNumberFormat="1" applyFont="1"/>
    <xf numFmtId="4" fontId="33" fillId="0" borderId="13" xfId="0" applyNumberFormat="1" applyFont="1" applyFill="1" applyBorder="1"/>
    <xf numFmtId="4" fontId="33" fillId="0" borderId="44" xfId="0" applyNumberFormat="1" applyFont="1" applyFill="1" applyBorder="1"/>
    <xf numFmtId="4" fontId="34" fillId="0" borderId="31" xfId="0" applyNumberFormat="1" applyFont="1" applyFill="1" applyBorder="1"/>
    <xf numFmtId="4" fontId="21" fillId="0" borderId="27" xfId="0" applyNumberFormat="1" applyFont="1" applyFill="1" applyBorder="1"/>
    <xf numFmtId="4" fontId="29" fillId="0" borderId="27" xfId="0" applyNumberFormat="1" applyFont="1" applyFill="1" applyBorder="1"/>
    <xf numFmtId="4" fontId="30" fillId="0" borderId="27" xfId="0" applyNumberFormat="1" applyFont="1" applyBorder="1"/>
    <xf numFmtId="3" fontId="11" fillId="0" borderId="27" xfId="0" applyNumberFormat="1" applyFont="1" applyBorder="1"/>
    <xf numFmtId="4" fontId="21" fillId="0" borderId="27" xfId="0" applyNumberFormat="1" applyFont="1" applyFill="1" applyBorder="1" applyAlignment="1">
      <alignment wrapText="1"/>
    </xf>
    <xf numFmtId="4" fontId="43" fillId="0" borderId="27" xfId="0" applyNumberFormat="1" applyFont="1" applyFill="1" applyBorder="1"/>
    <xf numFmtId="4" fontId="43" fillId="0" borderId="26" xfId="0" applyNumberFormat="1" applyFont="1" applyFill="1" applyBorder="1" applyAlignment="1">
      <alignment horizontal="right"/>
    </xf>
    <xf numFmtId="4" fontId="42" fillId="0" borderId="28" xfId="0" applyNumberFormat="1" applyFont="1" applyBorder="1" applyAlignment="1">
      <alignment horizontal="right"/>
    </xf>
    <xf numFmtId="4" fontId="34" fillId="0" borderId="0" xfId="0" applyNumberFormat="1" applyFont="1" applyBorder="1"/>
    <xf numFmtId="3" fontId="10" fillId="0" borderId="0" xfId="0" applyNumberFormat="1" applyFont="1" applyBorder="1"/>
    <xf numFmtId="4" fontId="43" fillId="0" borderId="30" xfId="0" applyNumberFormat="1" applyFont="1" applyFill="1" applyBorder="1"/>
    <xf numFmtId="4" fontId="44" fillId="0" borderId="0" xfId="0" applyNumberFormat="1" applyFont="1" applyFill="1"/>
    <xf numFmtId="3" fontId="45" fillId="0" borderId="0" xfId="0" applyNumberFormat="1" applyFont="1"/>
    <xf numFmtId="2" fontId="46" fillId="5" borderId="0" xfId="0" applyNumberFormat="1" applyFont="1" applyFill="1" applyBorder="1" applyAlignment="1" applyProtection="1">
      <alignment horizontal="right"/>
      <protection locked="0"/>
    </xf>
    <xf numFmtId="2" fontId="6" fillId="3" borderId="3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4" fontId="33" fillId="0" borderId="3" xfId="0" applyNumberFormat="1" applyFont="1" applyFill="1" applyBorder="1" applyAlignment="1">
      <alignment horizontal="right"/>
    </xf>
    <xf numFmtId="4" fontId="33" fillId="0" borderId="27" xfId="0" applyNumberFormat="1" applyFont="1" applyFill="1" applyBorder="1" applyAlignment="1">
      <alignment horizontal="right"/>
    </xf>
    <xf numFmtId="4" fontId="16" fillId="0" borderId="32" xfId="0" applyNumberFormat="1" applyFont="1" applyBorder="1"/>
    <xf numFmtId="172" fontId="12" fillId="0" borderId="16" xfId="1" applyNumberFormat="1" applyFont="1" applyBorder="1" applyProtection="1"/>
    <xf numFmtId="0" fontId="0" fillId="9" borderId="12" xfId="0" applyFill="1" applyBorder="1"/>
    <xf numFmtId="3" fontId="47" fillId="0" borderId="0" xfId="0" applyNumberFormat="1" applyFont="1" applyAlignment="1">
      <alignment horizontal="center"/>
    </xf>
    <xf numFmtId="4" fontId="48" fillId="0" borderId="0" xfId="0" applyNumberFormat="1" applyFont="1" applyFill="1"/>
    <xf numFmtId="4" fontId="47" fillId="0" borderId="0" xfId="0" applyNumberFormat="1" applyFont="1"/>
    <xf numFmtId="168" fontId="6" fillId="3" borderId="30" xfId="0" applyNumberFormat="1" applyFont="1" applyFill="1" applyBorder="1" applyAlignment="1">
      <alignment horizontal="right"/>
    </xf>
    <xf numFmtId="0" fontId="28" fillId="6" borderId="3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28" fillId="6" borderId="2" xfId="0" applyFont="1" applyFill="1" applyBorder="1" applyAlignment="1">
      <alignment horizontal="left" vertical="top" wrapText="1"/>
    </xf>
    <xf numFmtId="0" fontId="28" fillId="6" borderId="43" xfId="0" applyFont="1" applyFill="1" applyBorder="1" applyAlignment="1">
      <alignment horizontal="left" vertical="top" wrapText="1"/>
    </xf>
    <xf numFmtId="0" fontId="28" fillId="6" borderId="38" xfId="0" applyFont="1" applyFill="1" applyBorder="1" applyAlignment="1">
      <alignment horizontal="left" vertical="top" wrapText="1"/>
    </xf>
    <xf numFmtId="0" fontId="28" fillId="6" borderId="39" xfId="0" applyFont="1" applyFill="1" applyBorder="1" applyAlignment="1">
      <alignment horizontal="left" vertical="top" wrapText="1"/>
    </xf>
    <xf numFmtId="0" fontId="28" fillId="6" borderId="42" xfId="0" applyFont="1" applyFill="1" applyBorder="1" applyAlignment="1">
      <alignment horizontal="center"/>
    </xf>
    <xf numFmtId="0" fontId="28" fillId="6" borderId="36" xfId="0" applyFont="1" applyFill="1" applyBorder="1" applyAlignment="1">
      <alignment horizontal="center"/>
    </xf>
    <xf numFmtId="0" fontId="28" fillId="6" borderId="37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28" fillId="7" borderId="42" xfId="0" applyFont="1" applyFill="1" applyBorder="1" applyAlignment="1">
      <alignment horizontal="left"/>
    </xf>
    <xf numFmtId="0" fontId="28" fillId="7" borderId="36" xfId="0" applyFont="1" applyFill="1" applyBorder="1" applyAlignment="1">
      <alignment horizontal="left"/>
    </xf>
    <xf numFmtId="0" fontId="28" fillId="7" borderId="37" xfId="0" applyFont="1" applyFill="1" applyBorder="1" applyAlignment="1">
      <alignment horizontal="left"/>
    </xf>
    <xf numFmtId="0" fontId="28" fillId="7" borderId="3" xfId="0" applyFont="1" applyFill="1" applyBorder="1" applyAlignment="1">
      <alignment horizontal="left"/>
    </xf>
    <xf numFmtId="0" fontId="28" fillId="7" borderId="0" xfId="0" applyFont="1" applyFill="1" applyBorder="1" applyAlignment="1">
      <alignment horizontal="left"/>
    </xf>
    <xf numFmtId="0" fontId="28" fillId="7" borderId="2" xfId="0" applyFont="1" applyFill="1" applyBorder="1" applyAlignment="1">
      <alignment horizontal="left"/>
    </xf>
    <xf numFmtId="0" fontId="28" fillId="7" borderId="43" xfId="0" applyFont="1" applyFill="1" applyBorder="1" applyAlignment="1">
      <alignment horizontal="left"/>
    </xf>
    <xf numFmtId="0" fontId="28" fillId="7" borderId="38" xfId="0" applyFont="1" applyFill="1" applyBorder="1" applyAlignment="1">
      <alignment horizontal="left"/>
    </xf>
    <xf numFmtId="0" fontId="28" fillId="7" borderId="39" xfId="0" applyFont="1" applyFill="1" applyBorder="1" applyAlignment="1">
      <alignment horizontal="left"/>
    </xf>
    <xf numFmtId="0" fontId="25" fillId="6" borderId="42" xfId="0" applyFont="1" applyFill="1" applyBorder="1" applyAlignment="1">
      <alignment wrapText="1"/>
    </xf>
    <xf numFmtId="0" fontId="25" fillId="6" borderId="36" xfId="0" applyFont="1" applyFill="1" applyBorder="1" applyAlignment="1">
      <alignment wrapText="1"/>
    </xf>
    <xf numFmtId="0" fontId="25" fillId="6" borderId="37" xfId="0" applyFont="1" applyFill="1" applyBorder="1" applyAlignment="1">
      <alignment wrapText="1"/>
    </xf>
    <xf numFmtId="0" fontId="25" fillId="6" borderId="43" xfId="0" applyFont="1" applyFill="1" applyBorder="1" applyAlignment="1">
      <alignment wrapText="1"/>
    </xf>
    <xf numFmtId="0" fontId="25" fillId="6" borderId="38" xfId="0" applyFont="1" applyFill="1" applyBorder="1" applyAlignment="1">
      <alignment wrapText="1"/>
    </xf>
    <xf numFmtId="0" fontId="25" fillId="6" borderId="39" xfId="0" applyFont="1" applyFill="1" applyBorder="1" applyAlignment="1">
      <alignment wrapText="1"/>
    </xf>
    <xf numFmtId="0" fontId="37" fillId="4" borderId="42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7" fillId="4" borderId="37" xfId="0" applyFont="1" applyFill="1" applyBorder="1" applyAlignment="1">
      <alignment horizontal="center"/>
    </xf>
    <xf numFmtId="0" fontId="38" fillId="4" borderId="3" xfId="0" applyFont="1" applyFill="1" applyBorder="1"/>
    <xf numFmtId="0" fontId="38" fillId="4" borderId="0" xfId="0" applyFont="1" applyFill="1" applyBorder="1"/>
    <xf numFmtId="0" fontId="38" fillId="4" borderId="2" xfId="0" applyFont="1" applyFill="1" applyBorder="1"/>
    <xf numFmtId="0" fontId="28" fillId="4" borderId="3" xfId="0" applyFont="1" applyFill="1" applyBorder="1"/>
    <xf numFmtId="0" fontId="28" fillId="4" borderId="0" xfId="0" applyFont="1" applyFill="1" applyBorder="1"/>
    <xf numFmtId="0" fontId="28" fillId="4" borderId="2" xfId="0" applyFont="1" applyFill="1" applyBorder="1"/>
    <xf numFmtId="0" fontId="36" fillId="0" borderId="32" xfId="0" applyFont="1" applyBorder="1"/>
    <xf numFmtId="0" fontId="28" fillId="4" borderId="42" xfId="0" applyFont="1" applyFill="1" applyBorder="1" applyAlignment="1">
      <alignment vertical="top" wrapText="1"/>
    </xf>
    <xf numFmtId="0" fontId="28" fillId="4" borderId="36" xfId="0" applyFont="1" applyFill="1" applyBorder="1" applyAlignment="1">
      <alignment vertical="top" wrapText="1"/>
    </xf>
    <xf numFmtId="0" fontId="28" fillId="4" borderId="37" xfId="0" applyFont="1" applyFill="1" applyBorder="1" applyAlignment="1">
      <alignment vertical="top" wrapText="1"/>
    </xf>
    <xf numFmtId="0" fontId="28" fillId="4" borderId="3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8" fillId="4" borderId="43" xfId="0" applyFont="1" applyFill="1" applyBorder="1" applyAlignment="1">
      <alignment vertical="top" wrapText="1"/>
    </xf>
    <xf numFmtId="0" fontId="28" fillId="4" borderId="38" xfId="0" applyFont="1" applyFill="1" applyBorder="1" applyAlignment="1">
      <alignment vertical="top" wrapText="1"/>
    </xf>
    <xf numFmtId="0" fontId="28" fillId="4" borderId="39" xfId="0" applyFont="1" applyFill="1" applyBorder="1" applyAlignment="1">
      <alignment vertical="top" wrapText="1"/>
    </xf>
    <xf numFmtId="0" fontId="28" fillId="6" borderId="42" xfId="0" applyFont="1" applyFill="1" applyBorder="1" applyAlignment="1">
      <alignment vertical="top" wrapText="1"/>
    </xf>
    <xf numFmtId="0" fontId="28" fillId="6" borderId="36" xfId="0" applyFont="1" applyFill="1" applyBorder="1" applyAlignment="1">
      <alignment vertical="top" wrapText="1"/>
    </xf>
    <xf numFmtId="0" fontId="28" fillId="6" borderId="37" xfId="0" applyFont="1" applyFill="1" applyBorder="1" applyAlignment="1">
      <alignment vertical="top" wrapText="1"/>
    </xf>
    <xf numFmtId="0" fontId="28" fillId="6" borderId="3" xfId="0" applyFont="1" applyFill="1" applyBorder="1" applyAlignment="1">
      <alignment vertical="top" wrapText="1"/>
    </xf>
    <xf numFmtId="0" fontId="28" fillId="6" borderId="0" xfId="0" applyFont="1" applyFill="1" applyBorder="1" applyAlignment="1">
      <alignment vertical="top" wrapText="1"/>
    </xf>
    <xf numFmtId="0" fontId="28" fillId="6" borderId="2" xfId="0" applyFont="1" applyFill="1" applyBorder="1" applyAlignment="1">
      <alignment vertical="top" wrapText="1"/>
    </xf>
    <xf numFmtId="0" fontId="28" fillId="6" borderId="43" xfId="0" applyFont="1" applyFill="1" applyBorder="1" applyAlignment="1">
      <alignment vertical="top" wrapText="1"/>
    </xf>
    <xf numFmtId="0" fontId="28" fillId="6" borderId="38" xfId="0" applyFont="1" applyFill="1" applyBorder="1" applyAlignment="1">
      <alignment vertical="top" wrapText="1"/>
    </xf>
    <xf numFmtId="0" fontId="28" fillId="6" borderId="39" xfId="0" applyFont="1" applyFill="1" applyBorder="1" applyAlignment="1">
      <alignment vertical="top" wrapText="1"/>
    </xf>
    <xf numFmtId="0" fontId="0" fillId="0" borderId="32" xfId="0" applyBorder="1"/>
    <xf numFmtId="0" fontId="0" fillId="0" borderId="38" xfId="0" applyBorder="1"/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0" borderId="32" xfId="0" applyFont="1" applyBorder="1"/>
    <xf numFmtId="0" fontId="0" fillId="0" borderId="36" xfId="0" applyBorder="1"/>
    <xf numFmtId="0" fontId="28" fillId="4" borderId="43" xfId="0" applyFont="1" applyFill="1" applyBorder="1"/>
    <xf numFmtId="0" fontId="28" fillId="4" borderId="38" xfId="0" applyFont="1" applyFill="1" applyBorder="1"/>
    <xf numFmtId="0" fontId="28" fillId="4" borderId="39" xfId="0" applyFont="1" applyFill="1" applyBorder="1"/>
    <xf numFmtId="0" fontId="28" fillId="4" borderId="42" xfId="0" applyFont="1" applyFill="1" applyBorder="1"/>
    <xf numFmtId="0" fontId="28" fillId="4" borderId="36" xfId="0" applyFont="1" applyFill="1" applyBorder="1"/>
    <xf numFmtId="0" fontId="28" fillId="4" borderId="37" xfId="0" applyFont="1" applyFill="1" applyBorder="1"/>
    <xf numFmtId="0" fontId="0" fillId="0" borderId="0" xfId="0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4" fontId="32" fillId="0" borderId="26" xfId="0" applyNumberFormat="1" applyFont="1" applyBorder="1" applyAlignment="1">
      <alignment horizontal="center" wrapText="1"/>
    </xf>
    <xf numFmtId="4" fontId="32" fillId="0" borderId="28" xfId="0" applyNumberFormat="1" applyFont="1" applyBorder="1" applyAlignment="1">
      <alignment horizontal="center" wrapText="1"/>
    </xf>
    <xf numFmtId="2" fontId="31" fillId="0" borderId="45" xfId="0" applyNumberFormat="1" applyFont="1" applyFill="1" applyBorder="1" applyAlignment="1">
      <alignment horizontal="left" vertical="top" wrapText="1"/>
    </xf>
    <xf numFmtId="2" fontId="31" fillId="0" borderId="46" xfId="0" applyNumberFormat="1" applyFont="1" applyFill="1" applyBorder="1" applyAlignment="1">
      <alignment horizontal="left" vertical="top" wrapText="1"/>
    </xf>
    <xf numFmtId="2" fontId="31" fillId="0" borderId="47" xfId="0" applyNumberFormat="1" applyFont="1" applyFill="1" applyBorder="1" applyAlignment="1">
      <alignment horizontal="left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2" fontId="31" fillId="0" borderId="23" xfId="0" applyNumberFormat="1" applyFont="1" applyFill="1" applyBorder="1" applyAlignment="1">
      <alignment horizontal="left" vertical="top" wrapText="1"/>
    </xf>
    <xf numFmtId="2" fontId="31" fillId="0" borderId="24" xfId="0" applyNumberFormat="1" applyFont="1" applyFill="1" applyBorder="1" applyAlignment="1">
      <alignment horizontal="left" vertical="top" wrapText="1"/>
    </xf>
    <xf numFmtId="2" fontId="31" fillId="0" borderId="1" xfId="0" applyNumberFormat="1" applyFont="1" applyFill="1" applyBorder="1" applyAlignment="1">
      <alignment horizontal="left" vertical="top" wrapText="1"/>
    </xf>
    <xf numFmtId="2" fontId="31" fillId="0" borderId="25" xfId="0" applyNumberFormat="1" applyFont="1" applyFill="1" applyBorder="1" applyAlignment="1">
      <alignment horizontal="left" vertical="top" wrapText="1"/>
    </xf>
    <xf numFmtId="4" fontId="41" fillId="0" borderId="26" xfId="0" applyNumberFormat="1" applyFont="1" applyFill="1" applyBorder="1" applyAlignment="1">
      <alignment horizontal="center" vertical="top" wrapText="1"/>
    </xf>
    <xf numFmtId="4" fontId="41" fillId="0" borderId="28" xfId="0" applyNumberFormat="1" applyFont="1" applyFill="1" applyBorder="1" applyAlignment="1">
      <alignment horizontal="center" vertical="top" wrapText="1"/>
    </xf>
    <xf numFmtId="4" fontId="41" fillId="0" borderId="2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/>
    </xf>
    <xf numFmtId="2" fontId="15" fillId="3" borderId="31" xfId="0" applyNumberFormat="1" applyFont="1" applyFill="1" applyBorder="1" applyAlignment="1">
      <alignment horizontal="left"/>
    </xf>
    <xf numFmtId="2" fontId="15" fillId="3" borderId="32" xfId="0" applyNumberFormat="1" applyFont="1" applyFill="1" applyBorder="1" applyAlignment="1">
      <alignment horizontal="left"/>
    </xf>
    <xf numFmtId="2" fontId="15" fillId="3" borderId="33" xfId="0" applyNumberFormat="1" applyFont="1" applyFill="1" applyBorder="1" applyAlignment="1">
      <alignment horizontal="left"/>
    </xf>
    <xf numFmtId="4" fontId="32" fillId="0" borderId="42" xfId="0" applyNumberFormat="1" applyFont="1" applyBorder="1" applyAlignment="1">
      <alignment horizontal="center" wrapText="1"/>
    </xf>
    <xf numFmtId="4" fontId="32" fillId="0" borderId="43" xfId="0" applyNumberFormat="1" applyFont="1" applyBorder="1" applyAlignment="1">
      <alignment horizontal="center" wrapText="1"/>
    </xf>
    <xf numFmtId="0" fontId="3" fillId="8" borderId="18" xfId="0" applyFont="1" applyFill="1" applyBorder="1"/>
    <xf numFmtId="0" fontId="3" fillId="8" borderId="19" xfId="0" applyFont="1" applyFill="1" applyBorder="1"/>
    <xf numFmtId="0" fontId="3" fillId="8" borderId="48" xfId="0" applyFont="1" applyFill="1" applyBorder="1"/>
    <xf numFmtId="0" fontId="8" fillId="8" borderId="49" xfId="0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/>
    </xf>
    <xf numFmtId="0" fontId="8" fillId="8" borderId="51" xfId="0" applyFont="1" applyFill="1" applyBorder="1" applyAlignment="1">
      <alignment horizontal="center"/>
    </xf>
    <xf numFmtId="0" fontId="8" fillId="8" borderId="52" xfId="0" applyFont="1" applyFill="1" applyBorder="1" applyAlignment="1">
      <alignment horizontal="center"/>
    </xf>
    <xf numFmtId="0" fontId="8" fillId="8" borderId="53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29"/>
  <sheetViews>
    <sheetView showGridLines="0" showRowColHeaders="0" tabSelected="1" showOutlineSymbols="0" workbookViewId="0">
      <selection activeCell="A28" sqref="A28:I29"/>
    </sheetView>
  </sheetViews>
  <sheetFormatPr defaultRowHeight="15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3" ht="16.5" thickBot="1">
      <c r="A1" s="269" t="s">
        <v>60</v>
      </c>
      <c r="B1" s="270"/>
      <c r="C1" s="270"/>
      <c r="D1" s="270"/>
      <c r="E1" s="271"/>
      <c r="F1" s="280"/>
      <c r="G1" s="281" t="s">
        <v>71</v>
      </c>
      <c r="H1" s="282"/>
      <c r="I1" s="283"/>
      <c r="K1" s="221" t="s">
        <v>152</v>
      </c>
      <c r="L1" s="222"/>
      <c r="M1" s="223"/>
    </row>
    <row r="2" spans="1:13" ht="8.1" customHeight="1" thickBot="1">
      <c r="A2" s="267"/>
      <c r="B2" s="267"/>
      <c r="C2" s="267"/>
      <c r="D2" s="267"/>
      <c r="E2" s="267"/>
      <c r="F2" s="280"/>
      <c r="G2" s="272"/>
      <c r="H2" s="272"/>
      <c r="I2" s="272"/>
    </row>
    <row r="3" spans="1:13" ht="15.75">
      <c r="A3" s="258" t="s">
        <v>144</v>
      </c>
      <c r="B3" s="259"/>
      <c r="C3" s="259"/>
      <c r="D3" s="259"/>
      <c r="E3" s="260"/>
      <c r="F3" s="280"/>
      <c r="G3" s="277" t="s">
        <v>73</v>
      </c>
      <c r="H3" s="278"/>
      <c r="I3" s="279"/>
      <c r="K3" s="224" t="s">
        <v>153</v>
      </c>
      <c r="L3" s="225"/>
      <c r="M3" s="226"/>
    </row>
    <row r="4" spans="1:13" ht="15.75">
      <c r="A4" s="261"/>
      <c r="B4" s="262"/>
      <c r="C4" s="262"/>
      <c r="D4" s="262"/>
      <c r="E4" s="263"/>
      <c r="F4" s="280"/>
      <c r="G4" s="245" t="s">
        <v>72</v>
      </c>
      <c r="H4" s="246"/>
      <c r="I4" s="247"/>
      <c r="K4" s="227" t="s">
        <v>154</v>
      </c>
      <c r="L4" s="228"/>
      <c r="M4" s="229"/>
    </row>
    <row r="5" spans="1:13" ht="16.5" thickBot="1">
      <c r="A5" s="261"/>
      <c r="B5" s="262"/>
      <c r="C5" s="262"/>
      <c r="D5" s="262"/>
      <c r="E5" s="263"/>
      <c r="F5" s="280"/>
      <c r="G5" s="245" t="s">
        <v>126</v>
      </c>
      <c r="H5" s="246"/>
      <c r="I5" s="247"/>
      <c r="K5" s="230" t="s">
        <v>155</v>
      </c>
      <c r="L5" s="231"/>
      <c r="M5" s="232"/>
    </row>
    <row r="6" spans="1:13" ht="15.75">
      <c r="A6" s="261"/>
      <c r="B6" s="262"/>
      <c r="C6" s="262"/>
      <c r="D6" s="262"/>
      <c r="E6" s="263"/>
      <c r="F6" s="280"/>
      <c r="G6" s="245" t="s">
        <v>141</v>
      </c>
      <c r="H6" s="246"/>
      <c r="I6" s="247"/>
    </row>
    <row r="7" spans="1:13" ht="15.75">
      <c r="A7" s="261"/>
      <c r="B7" s="262"/>
      <c r="C7" s="262"/>
      <c r="D7" s="262"/>
      <c r="E7" s="263"/>
      <c r="F7" s="280"/>
      <c r="G7" s="245" t="s">
        <v>127</v>
      </c>
      <c r="H7" s="246"/>
      <c r="I7" s="247"/>
    </row>
    <row r="8" spans="1:13" ht="15" customHeight="1">
      <c r="A8" s="261"/>
      <c r="B8" s="262"/>
      <c r="C8" s="262"/>
      <c r="D8" s="262"/>
      <c r="E8" s="263"/>
      <c r="F8" s="280"/>
      <c r="G8" s="245" t="s">
        <v>128</v>
      </c>
      <c r="H8" s="246"/>
      <c r="I8" s="247"/>
    </row>
    <row r="9" spans="1:13" ht="16.5" thickBot="1">
      <c r="A9" s="261"/>
      <c r="B9" s="262"/>
      <c r="C9" s="262"/>
      <c r="D9" s="262"/>
      <c r="E9" s="263"/>
      <c r="F9" s="280"/>
      <c r="G9" s="274" t="s">
        <v>129</v>
      </c>
      <c r="H9" s="275"/>
      <c r="I9" s="276"/>
    </row>
    <row r="10" spans="1:13" ht="8.25" customHeight="1" thickBot="1">
      <c r="A10" s="261"/>
      <c r="B10" s="262"/>
      <c r="C10" s="262"/>
      <c r="D10" s="262"/>
      <c r="E10" s="263"/>
      <c r="F10" s="280"/>
      <c r="G10" s="273"/>
      <c r="H10" s="273"/>
      <c r="I10" s="273"/>
    </row>
    <row r="11" spans="1:13" ht="15.75" customHeight="1">
      <c r="A11" s="261"/>
      <c r="B11" s="262"/>
      <c r="C11" s="262"/>
      <c r="D11" s="262"/>
      <c r="E11" s="263"/>
      <c r="F11" s="280"/>
      <c r="G11" s="239" t="s">
        <v>132</v>
      </c>
      <c r="H11" s="240"/>
      <c r="I11" s="241"/>
    </row>
    <row r="12" spans="1:13" ht="15" customHeight="1">
      <c r="A12" s="261"/>
      <c r="B12" s="262"/>
      <c r="C12" s="262"/>
      <c r="D12" s="262"/>
      <c r="E12" s="263"/>
      <c r="F12" s="280"/>
      <c r="G12" s="242" t="s">
        <v>130</v>
      </c>
      <c r="H12" s="243"/>
      <c r="I12" s="244"/>
    </row>
    <row r="13" spans="1:13" ht="20.25" customHeight="1">
      <c r="A13" s="261"/>
      <c r="B13" s="262"/>
      <c r="C13" s="262"/>
      <c r="D13" s="262"/>
      <c r="E13" s="263"/>
      <c r="F13" s="280"/>
      <c r="G13" s="245" t="s">
        <v>131</v>
      </c>
      <c r="H13" s="246"/>
      <c r="I13" s="247"/>
    </row>
    <row r="14" spans="1:13" ht="20.25" customHeight="1">
      <c r="A14" s="261"/>
      <c r="B14" s="262"/>
      <c r="C14" s="262"/>
      <c r="D14" s="262"/>
      <c r="E14" s="263"/>
      <c r="F14" s="280"/>
      <c r="G14" s="180" t="s">
        <v>142</v>
      </c>
      <c r="H14" s="176"/>
      <c r="I14" s="177"/>
    </row>
    <row r="15" spans="1:13" ht="16.5" customHeight="1" thickBot="1">
      <c r="A15" s="264"/>
      <c r="B15" s="265"/>
      <c r="C15" s="265"/>
      <c r="D15" s="265"/>
      <c r="E15" s="266"/>
      <c r="F15" s="280"/>
      <c r="G15" s="179" t="s">
        <v>156</v>
      </c>
      <c r="H15" s="175"/>
      <c r="I15" s="178"/>
    </row>
    <row r="16" spans="1:13" ht="8.1" customHeight="1" thickBot="1">
      <c r="A16" s="267"/>
      <c r="B16" s="267"/>
      <c r="C16" s="267"/>
      <c r="D16" s="267"/>
      <c r="E16" s="267"/>
      <c r="F16" s="268"/>
      <c r="G16" s="268"/>
      <c r="H16" s="268"/>
      <c r="I16" s="268"/>
    </row>
    <row r="17" spans="1:13" ht="15.75">
      <c r="A17" s="249" t="s">
        <v>140</v>
      </c>
      <c r="B17" s="250"/>
      <c r="C17" s="250"/>
      <c r="D17" s="250"/>
      <c r="E17" s="250"/>
      <c r="F17" s="250"/>
      <c r="G17" s="250"/>
      <c r="H17" s="250"/>
      <c r="I17" s="251"/>
      <c r="K17" s="218" t="s">
        <v>157</v>
      </c>
      <c r="L17" s="219"/>
      <c r="M17" s="220"/>
    </row>
    <row r="18" spans="1:13">
      <c r="A18" s="252"/>
      <c r="B18" s="253"/>
      <c r="C18" s="253"/>
      <c r="D18" s="253"/>
      <c r="E18" s="253"/>
      <c r="F18" s="253"/>
      <c r="G18" s="253"/>
      <c r="H18" s="253"/>
      <c r="I18" s="254"/>
      <c r="K18" s="212" t="s">
        <v>159</v>
      </c>
      <c r="L18" s="213"/>
      <c r="M18" s="214"/>
    </row>
    <row r="19" spans="1:13" ht="15.75" thickBot="1">
      <c r="A19" s="255"/>
      <c r="B19" s="256"/>
      <c r="C19" s="256"/>
      <c r="D19" s="256"/>
      <c r="E19" s="256"/>
      <c r="F19" s="256"/>
      <c r="G19" s="256"/>
      <c r="H19" s="256"/>
      <c r="I19" s="257"/>
      <c r="K19" s="212"/>
      <c r="L19" s="213"/>
      <c r="M19" s="214"/>
    </row>
    <row r="20" spans="1:13" ht="8.1" customHeight="1" thickBot="1">
      <c r="A20" s="248"/>
      <c r="B20" s="248"/>
      <c r="C20" s="248"/>
      <c r="D20" s="248"/>
      <c r="E20" s="248"/>
      <c r="F20" s="248"/>
      <c r="G20" s="248"/>
      <c r="H20" s="248"/>
      <c r="I20" s="248"/>
      <c r="K20" s="212"/>
      <c r="L20" s="213"/>
      <c r="M20" s="214"/>
    </row>
    <row r="21" spans="1:13" ht="15" customHeight="1">
      <c r="A21" s="249" t="s">
        <v>143</v>
      </c>
      <c r="B21" s="250"/>
      <c r="C21" s="250"/>
      <c r="D21" s="250"/>
      <c r="E21" s="250"/>
      <c r="F21" s="250"/>
      <c r="G21" s="250"/>
      <c r="H21" s="250"/>
      <c r="I21" s="251"/>
      <c r="K21" s="212"/>
      <c r="L21" s="213"/>
      <c r="M21" s="214"/>
    </row>
    <row r="22" spans="1:13" ht="15.75" thickBot="1">
      <c r="A22" s="255"/>
      <c r="B22" s="256"/>
      <c r="C22" s="256"/>
      <c r="D22" s="256"/>
      <c r="E22" s="256"/>
      <c r="F22" s="256"/>
      <c r="G22" s="256"/>
      <c r="H22" s="256"/>
      <c r="I22" s="257"/>
      <c r="K22" s="212"/>
      <c r="L22" s="213"/>
      <c r="M22" s="214"/>
    </row>
    <row r="23" spans="1:13" ht="6.75" customHeight="1" thickBot="1">
      <c r="A23" s="174"/>
      <c r="B23" s="174"/>
      <c r="C23" s="174"/>
      <c r="D23" s="174"/>
      <c r="E23" s="174"/>
      <c r="F23" s="174"/>
      <c r="G23" s="174"/>
      <c r="H23" s="174"/>
      <c r="I23" s="174"/>
      <c r="K23" s="212"/>
      <c r="L23" s="213"/>
      <c r="M23" s="214"/>
    </row>
    <row r="24" spans="1:13">
      <c r="A24" s="258" t="s">
        <v>145</v>
      </c>
      <c r="B24" s="259"/>
      <c r="C24" s="259"/>
      <c r="D24" s="259"/>
      <c r="E24" s="259"/>
      <c r="F24" s="259"/>
      <c r="G24" s="259"/>
      <c r="H24" s="259"/>
      <c r="I24" s="260"/>
      <c r="K24" s="212"/>
      <c r="L24" s="213"/>
      <c r="M24" s="214"/>
    </row>
    <row r="25" spans="1:13">
      <c r="A25" s="261"/>
      <c r="B25" s="262"/>
      <c r="C25" s="262"/>
      <c r="D25" s="262"/>
      <c r="E25" s="262"/>
      <c r="F25" s="262"/>
      <c r="G25" s="262"/>
      <c r="H25" s="262"/>
      <c r="I25" s="263"/>
      <c r="K25" s="212"/>
      <c r="L25" s="213"/>
      <c r="M25" s="214"/>
    </row>
    <row r="26" spans="1:13" ht="15.75" thickBot="1">
      <c r="A26" s="264"/>
      <c r="B26" s="265"/>
      <c r="C26" s="265"/>
      <c r="D26" s="265"/>
      <c r="E26" s="265"/>
      <c r="F26" s="265"/>
      <c r="G26" s="265"/>
      <c r="H26" s="265"/>
      <c r="I26" s="266"/>
      <c r="K26" s="212"/>
      <c r="L26" s="213"/>
      <c r="M26" s="214"/>
    </row>
    <row r="27" spans="1:13" ht="5.25" customHeight="1" thickBot="1">
      <c r="K27" s="212"/>
      <c r="L27" s="213"/>
      <c r="M27" s="214"/>
    </row>
    <row r="28" spans="1:13">
      <c r="A28" s="233" t="s">
        <v>136</v>
      </c>
      <c r="B28" s="234"/>
      <c r="C28" s="234"/>
      <c r="D28" s="234"/>
      <c r="E28" s="234"/>
      <c r="F28" s="234"/>
      <c r="G28" s="234"/>
      <c r="H28" s="234"/>
      <c r="I28" s="235"/>
      <c r="K28" s="212"/>
      <c r="L28" s="213"/>
      <c r="M28" s="214"/>
    </row>
    <row r="29" spans="1:13" ht="15.75" thickBot="1">
      <c r="A29" s="236"/>
      <c r="B29" s="237"/>
      <c r="C29" s="237"/>
      <c r="D29" s="237"/>
      <c r="E29" s="237"/>
      <c r="F29" s="237"/>
      <c r="G29" s="237"/>
      <c r="H29" s="237"/>
      <c r="I29" s="238"/>
      <c r="K29" s="215"/>
      <c r="L29" s="216"/>
      <c r="M29" s="217"/>
    </row>
  </sheetData>
  <mergeCells count="30"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K18:M29"/>
    <mergeCell ref="K17:M17"/>
    <mergeCell ref="K1:M1"/>
    <mergeCell ref="K3:M3"/>
    <mergeCell ref="K4:M4"/>
    <mergeCell ref="K5:M5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4"/>
  <sheetViews>
    <sheetView zoomScaleNormal="100" workbookViewId="0"/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3" customWidth="1"/>
    <col min="9" max="9" width="9.109375" style="38" customWidth="1"/>
    <col min="10" max="10" width="5.77734375" style="88" customWidth="1"/>
    <col min="11" max="11" width="6.44140625" style="88" bestFit="1" customWidth="1"/>
    <col min="12" max="12" width="5.77734375" style="91" customWidth="1"/>
    <col min="13" max="15" width="6.44140625" style="89" bestFit="1" customWidth="1"/>
    <col min="16" max="21" width="5.77734375" style="89" customWidth="1"/>
    <col min="22" max="22" width="6.44140625" style="89" bestFit="1" customWidth="1"/>
    <col min="23" max="16384" width="8.88671875" style="5"/>
  </cols>
  <sheetData>
    <row r="1" spans="1:21" ht="16.5" thickBot="1">
      <c r="A1" s="105" t="s">
        <v>30</v>
      </c>
      <c r="B1" s="106"/>
      <c r="C1" s="107"/>
      <c r="D1" s="107"/>
      <c r="E1" s="108"/>
      <c r="F1" s="284" t="s">
        <v>125</v>
      </c>
      <c r="G1" s="285"/>
      <c r="H1" s="147"/>
      <c r="I1" s="148"/>
    </row>
    <row r="2" spans="1:21" ht="16.5" thickBot="1">
      <c r="A2" s="202" t="str">
        <f>IF(B5+B9+B12+B15&gt;1,"Snyd! - du skal kun skrive i 1 af de 4 felter for anciennitet",".")</f>
        <v>.</v>
      </c>
      <c r="B2" s="109"/>
      <c r="C2" s="109"/>
      <c r="D2" s="109"/>
      <c r="E2" s="109"/>
      <c r="F2" s="286" t="str">
        <f>DATABANK!B20</f>
        <v>1.4.2010</v>
      </c>
      <c r="G2" s="286"/>
      <c r="H2" s="287" t="s">
        <v>137</v>
      </c>
      <c r="I2" s="148"/>
    </row>
    <row r="3" spans="1:21" ht="15.75" thickBot="1">
      <c r="A3" s="74" t="s">
        <v>47</v>
      </c>
      <c r="B3" s="200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8"/>
      <c r="I3" s="155"/>
    </row>
    <row r="4" spans="1:21" ht="15.75" thickBot="1">
      <c r="A4" s="74" t="s">
        <v>24</v>
      </c>
      <c r="B4" s="110">
        <v>27</v>
      </c>
      <c r="C4" s="100"/>
      <c r="D4" s="101">
        <f>DATABANK!B27</f>
        <v>291675</v>
      </c>
      <c r="E4" s="102" t="s">
        <v>67</v>
      </c>
      <c r="F4" s="123">
        <f>ROUND($E$3/100*D4,2)</f>
        <v>291675</v>
      </c>
      <c r="G4" s="123">
        <f>ROUND(F4/12,2)</f>
        <v>24306.25</v>
      </c>
      <c r="H4" s="170"/>
      <c r="I4" s="148"/>
      <c r="J4" s="92"/>
      <c r="K4" s="92"/>
      <c r="L4" s="92"/>
      <c r="M4" s="92"/>
      <c r="N4" s="92"/>
      <c r="O4" s="92"/>
    </row>
    <row r="5" spans="1:21" ht="15.75" thickBot="1">
      <c r="A5" s="143" t="s">
        <v>101</v>
      </c>
      <c r="B5" s="103"/>
      <c r="C5" s="129" t="s">
        <v>23</v>
      </c>
      <c r="D5" s="130"/>
      <c r="E5" s="131"/>
      <c r="F5" s="123"/>
      <c r="G5" s="123"/>
      <c r="H5" s="170"/>
      <c r="I5" s="148"/>
      <c r="J5" s="92"/>
      <c r="K5" s="92"/>
      <c r="L5" s="92"/>
      <c r="M5" s="92"/>
      <c r="N5" s="92"/>
      <c r="O5" s="92"/>
      <c r="P5" s="88"/>
      <c r="Q5" s="88"/>
      <c r="R5" s="88"/>
      <c r="S5" s="88"/>
      <c r="T5" s="88"/>
      <c r="U5" s="88"/>
    </row>
    <row r="6" spans="1:21">
      <c r="A6" s="144" t="s">
        <v>100</v>
      </c>
      <c r="B6" s="104"/>
      <c r="C6" s="104"/>
      <c r="D6" s="93">
        <f>DATABANK!C58</f>
        <v>2497.62</v>
      </c>
      <c r="E6" s="132" t="s">
        <v>67</v>
      </c>
      <c r="F6" s="123">
        <f>ROUND(B5*E$3/100*D6,2)</f>
        <v>0</v>
      </c>
      <c r="G6" s="123">
        <f t="shared" ref="G6:G23" si="0">ROUND(F6/12,2)</f>
        <v>0</v>
      </c>
      <c r="H6" s="170"/>
      <c r="I6" s="148"/>
      <c r="J6" s="92"/>
      <c r="K6" s="92"/>
      <c r="L6" s="92"/>
      <c r="M6" s="92"/>
      <c r="N6" s="92"/>
      <c r="O6" s="92"/>
      <c r="P6" s="88"/>
      <c r="Q6" s="88"/>
      <c r="R6" s="88"/>
      <c r="S6" s="88"/>
      <c r="T6" s="88"/>
      <c r="U6" s="88"/>
    </row>
    <row r="7" spans="1:21">
      <c r="A7" s="145" t="s">
        <v>108</v>
      </c>
      <c r="B7" s="95"/>
      <c r="C7" s="95"/>
      <c r="D7" s="94">
        <f>(DATABANK!B31-DATABANK!B27)</f>
        <v>16840</v>
      </c>
      <c r="E7" s="133" t="s">
        <v>67</v>
      </c>
      <c r="F7" s="124">
        <f>ROUND(B5*E$3/100*D7,2)</f>
        <v>0</v>
      </c>
      <c r="G7" s="124">
        <f t="shared" si="0"/>
        <v>0</v>
      </c>
      <c r="H7" s="170"/>
      <c r="I7" s="148"/>
      <c r="J7" s="92"/>
      <c r="K7" s="92"/>
      <c r="L7" s="92"/>
      <c r="M7" s="92"/>
      <c r="N7" s="92"/>
      <c r="O7" s="92"/>
      <c r="P7" s="88"/>
      <c r="Q7" s="88"/>
      <c r="R7" s="88"/>
      <c r="S7" s="88"/>
      <c r="T7" s="88"/>
      <c r="U7" s="88"/>
    </row>
    <row r="8" spans="1:21" ht="16.5" thickBot="1">
      <c r="A8" s="146" t="s">
        <v>109</v>
      </c>
      <c r="B8" s="134"/>
      <c r="C8" s="134"/>
      <c r="D8" s="135">
        <f>(DATABANK!B33-DATABANK!B31)</f>
        <v>8836</v>
      </c>
      <c r="E8" s="136" t="s">
        <v>67</v>
      </c>
      <c r="F8" s="124">
        <f>ROUND(B5*E$3/100*D8,2)</f>
        <v>0</v>
      </c>
      <c r="G8" s="124">
        <f t="shared" si="0"/>
        <v>0</v>
      </c>
      <c r="H8" s="170"/>
      <c r="I8" s="148"/>
      <c r="J8" s="92"/>
      <c r="K8" s="92"/>
      <c r="L8" s="92"/>
      <c r="M8" s="92"/>
      <c r="N8" s="92"/>
      <c r="O8" s="92"/>
    </row>
    <row r="9" spans="1:21" ht="15.75" thickBot="1">
      <c r="A9" s="143" t="s">
        <v>102</v>
      </c>
      <c r="B9" s="103"/>
      <c r="C9" s="129" t="s">
        <v>23</v>
      </c>
      <c r="D9" s="130">
        <f>(DATABANK!B30-DATABANK!B27)</f>
        <v>12524</v>
      </c>
      <c r="E9" s="131" t="s">
        <v>67</v>
      </c>
      <c r="F9" s="125">
        <f>ROUND(B9*E$3/100*D9,2)</f>
        <v>0</v>
      </c>
      <c r="G9" s="125">
        <f t="shared" si="0"/>
        <v>0</v>
      </c>
      <c r="H9" s="171"/>
      <c r="I9" s="148"/>
      <c r="J9" s="92"/>
      <c r="K9" s="92"/>
      <c r="L9" s="92"/>
      <c r="M9" s="92"/>
      <c r="N9" s="92"/>
      <c r="O9" s="92"/>
      <c r="P9" s="88"/>
      <c r="Q9" s="88"/>
      <c r="R9" s="88"/>
      <c r="S9" s="88"/>
      <c r="T9" s="88"/>
      <c r="U9" s="88"/>
    </row>
    <row r="10" spans="1:21">
      <c r="A10" s="144" t="s">
        <v>100</v>
      </c>
      <c r="B10" s="104"/>
      <c r="C10" s="104"/>
      <c r="D10" s="93">
        <f>DATABANK!C58</f>
        <v>2497.62</v>
      </c>
      <c r="E10" s="132" t="s">
        <v>67</v>
      </c>
      <c r="F10" s="123">
        <f>ROUND(B9*E$3/100*D10,2)</f>
        <v>0</v>
      </c>
      <c r="G10" s="123">
        <f t="shared" si="0"/>
        <v>0</v>
      </c>
      <c r="H10" s="170"/>
      <c r="I10" s="148"/>
      <c r="J10" s="92"/>
      <c r="K10" s="92"/>
      <c r="L10" s="92"/>
      <c r="M10" s="92"/>
      <c r="N10" s="92"/>
      <c r="O10" s="92"/>
      <c r="P10" s="88"/>
      <c r="Q10" s="88"/>
      <c r="R10" s="88"/>
      <c r="S10" s="88"/>
      <c r="T10" s="88"/>
      <c r="U10" s="88"/>
    </row>
    <row r="11" spans="1:21" ht="15.75" thickBot="1">
      <c r="A11" s="146" t="s">
        <v>108</v>
      </c>
      <c r="B11" s="137"/>
      <c r="C11" s="137"/>
      <c r="D11" s="135">
        <f>(DATABANK!B34-DATABANK!B30)</f>
        <v>17683</v>
      </c>
      <c r="E11" s="136" t="s">
        <v>67</v>
      </c>
      <c r="F11" s="124">
        <f>ROUND(B9*E$3/100*D11,2)</f>
        <v>0</v>
      </c>
      <c r="G11" s="124">
        <f t="shared" si="0"/>
        <v>0</v>
      </c>
      <c r="H11" s="170"/>
      <c r="I11" s="148"/>
      <c r="J11" s="92"/>
      <c r="K11" s="92"/>
      <c r="L11" s="92"/>
      <c r="M11" s="92"/>
      <c r="N11" s="92"/>
      <c r="O11" s="92"/>
      <c r="P11" s="88"/>
      <c r="Q11" s="88"/>
      <c r="R11" s="88"/>
      <c r="S11" s="88"/>
      <c r="T11" s="88"/>
      <c r="U11" s="88"/>
    </row>
    <row r="12" spans="1:21" ht="15.75" thickBot="1">
      <c r="A12" s="143" t="s">
        <v>103</v>
      </c>
      <c r="B12" s="103"/>
      <c r="C12" s="129" t="s">
        <v>23</v>
      </c>
      <c r="D12" s="130">
        <f>(DATABANK!B$32-DATABANK!B$27)</f>
        <v>21223</v>
      </c>
      <c r="E12" s="131" t="s">
        <v>67</v>
      </c>
      <c r="F12" s="125">
        <f>ROUND(B12*E$3/100*D12,2)</f>
        <v>0</v>
      </c>
      <c r="G12" s="125">
        <f t="shared" si="0"/>
        <v>0</v>
      </c>
      <c r="H12" s="171"/>
      <c r="I12" s="148"/>
      <c r="J12" s="92"/>
      <c r="K12" s="92"/>
      <c r="L12" s="92"/>
      <c r="M12" s="92"/>
      <c r="N12" s="92"/>
      <c r="O12" s="92"/>
      <c r="P12" s="88"/>
      <c r="Q12" s="88"/>
      <c r="R12" s="88"/>
      <c r="S12" s="88"/>
      <c r="T12" s="88"/>
      <c r="U12" s="88"/>
    </row>
    <row r="13" spans="1:21">
      <c r="A13" s="144" t="s">
        <v>100</v>
      </c>
      <c r="B13" s="104"/>
      <c r="C13" s="104"/>
      <c r="D13" s="93">
        <v>0</v>
      </c>
      <c r="E13" s="132" t="s">
        <v>67</v>
      </c>
      <c r="F13" s="123">
        <f>ROUND(B12*E$3/100*D13,2)</f>
        <v>0</v>
      </c>
      <c r="G13" s="123">
        <f t="shared" si="0"/>
        <v>0</v>
      </c>
      <c r="H13" s="170"/>
      <c r="I13" s="148"/>
      <c r="J13" s="92"/>
      <c r="K13" s="92"/>
      <c r="L13" s="92"/>
      <c r="M13" s="92"/>
      <c r="N13" s="92"/>
      <c r="O13" s="92"/>
      <c r="P13" s="88"/>
      <c r="Q13" s="88"/>
      <c r="R13" s="88"/>
      <c r="S13" s="88"/>
      <c r="T13" s="88"/>
      <c r="U13" s="88"/>
    </row>
    <row r="14" spans="1:21" ht="15.75" thickBot="1">
      <c r="A14" s="146" t="s">
        <v>108</v>
      </c>
      <c r="B14" s="137"/>
      <c r="C14" s="137"/>
      <c r="D14" s="135">
        <f>(DATABANK!B36-DATABANK!B32)</f>
        <v>18249</v>
      </c>
      <c r="E14" s="136" t="s">
        <v>67</v>
      </c>
      <c r="F14" s="124">
        <f>ROUND(B12*E$3/100*D14,2)</f>
        <v>0</v>
      </c>
      <c r="G14" s="124">
        <f t="shared" si="0"/>
        <v>0</v>
      </c>
      <c r="H14" s="170"/>
      <c r="I14" s="148"/>
      <c r="J14" s="92"/>
      <c r="K14" s="92"/>
      <c r="L14" s="92"/>
      <c r="M14" s="92"/>
      <c r="N14" s="92"/>
      <c r="O14" s="92"/>
    </row>
    <row r="15" spans="1:21" ht="15.75" thickBot="1">
      <c r="A15" s="143" t="s">
        <v>107</v>
      </c>
      <c r="B15" s="103"/>
      <c r="C15" s="129" t="s">
        <v>23</v>
      </c>
      <c r="D15" s="130">
        <f>D12</f>
        <v>21223</v>
      </c>
      <c r="E15" s="131" t="s">
        <v>67</v>
      </c>
      <c r="F15" s="125">
        <f>ROUND(B15*E$3/100*D15,2)</f>
        <v>0</v>
      </c>
      <c r="G15" s="125">
        <f t="shared" si="0"/>
        <v>0</v>
      </c>
      <c r="H15" s="171"/>
      <c r="I15" s="148"/>
      <c r="J15" s="92"/>
      <c r="K15" s="92"/>
      <c r="L15" s="92"/>
      <c r="M15" s="92"/>
      <c r="N15" s="92"/>
      <c r="O15" s="92"/>
      <c r="P15" s="88"/>
      <c r="Q15" s="88"/>
      <c r="R15" s="88"/>
      <c r="S15" s="88"/>
      <c r="T15" s="88"/>
      <c r="U15" s="88"/>
    </row>
    <row r="16" spans="1:21">
      <c r="A16" s="144" t="s">
        <v>100</v>
      </c>
      <c r="B16" s="104"/>
      <c r="C16" s="104"/>
      <c r="D16" s="93">
        <f>DATABANK!C59</f>
        <v>8741.68</v>
      </c>
      <c r="E16" s="132" t="s">
        <v>67</v>
      </c>
      <c r="F16" s="123">
        <f>ROUND(B15*E$3/100*D16,2)</f>
        <v>0</v>
      </c>
      <c r="G16" s="123">
        <f t="shared" si="0"/>
        <v>0</v>
      </c>
      <c r="H16" s="170"/>
      <c r="I16" s="148"/>
      <c r="J16" s="92"/>
      <c r="K16" s="92"/>
      <c r="L16" s="92"/>
      <c r="M16" s="92"/>
      <c r="N16" s="92"/>
      <c r="O16" s="92"/>
    </row>
    <row r="17" spans="1:15" ht="15.75" thickBot="1">
      <c r="A17" s="146" t="s">
        <v>108</v>
      </c>
      <c r="B17" s="137"/>
      <c r="C17" s="137"/>
      <c r="D17" s="135">
        <f>D14</f>
        <v>18249</v>
      </c>
      <c r="E17" s="136" t="s">
        <v>67</v>
      </c>
      <c r="F17" s="124">
        <f>ROUND(B15*E$3/100*D17,2)</f>
        <v>0</v>
      </c>
      <c r="G17" s="124">
        <f t="shared" si="0"/>
        <v>0</v>
      </c>
      <c r="H17" s="170"/>
      <c r="I17" s="148"/>
      <c r="J17" s="92"/>
      <c r="K17" s="92"/>
      <c r="L17" s="92"/>
      <c r="M17" s="92"/>
      <c r="N17" s="92"/>
      <c r="O17" s="92"/>
    </row>
    <row r="18" spans="1:15" ht="15.75" thickBot="1">
      <c r="A18" s="111" t="s">
        <v>123</v>
      </c>
      <c r="B18" s="112"/>
      <c r="C18" s="113"/>
      <c r="D18" s="114">
        <f>DATABANK!C64</f>
        <v>5795.74</v>
      </c>
      <c r="E18" s="96" t="s">
        <v>68</v>
      </c>
      <c r="F18" s="126">
        <f>D18</f>
        <v>5795.74</v>
      </c>
      <c r="G18" s="126">
        <f t="shared" si="0"/>
        <v>482.98</v>
      </c>
      <c r="H18" s="171"/>
      <c r="I18" s="148"/>
      <c r="J18" s="92"/>
      <c r="K18" s="92"/>
      <c r="L18" s="92"/>
      <c r="M18" s="92"/>
      <c r="N18" s="92"/>
      <c r="O18" s="92"/>
    </row>
    <row r="19" spans="1:15" ht="15.75" thickBot="1">
      <c r="A19" s="111" t="s">
        <v>163</v>
      </c>
      <c r="B19" s="153"/>
      <c r="C19" s="95" t="s">
        <v>23</v>
      </c>
      <c r="D19" s="114">
        <f>DATABANK!C65</f>
        <v>8991.4500000000007</v>
      </c>
      <c r="E19" s="96" t="s">
        <v>68</v>
      </c>
      <c r="F19" s="126">
        <f>D19*B19</f>
        <v>0</v>
      </c>
      <c r="G19" s="126">
        <f t="shared" si="0"/>
        <v>0</v>
      </c>
      <c r="H19" s="171"/>
      <c r="I19" s="148"/>
      <c r="J19" s="92"/>
      <c r="K19" s="92"/>
      <c r="L19" s="92"/>
      <c r="M19" s="92"/>
      <c r="N19" s="92"/>
      <c r="O19" s="92"/>
    </row>
    <row r="20" spans="1:15" ht="15.75" thickBot="1">
      <c r="A20" s="111" t="s">
        <v>162</v>
      </c>
      <c r="B20" s="154"/>
      <c r="C20" s="95" t="s">
        <v>23</v>
      </c>
      <c r="D20" s="114">
        <f>DATABANK!C66</f>
        <v>6993.35</v>
      </c>
      <c r="E20" s="96" t="s">
        <v>68</v>
      </c>
      <c r="F20" s="126">
        <f>D20*B20</f>
        <v>0</v>
      </c>
      <c r="G20" s="126">
        <f t="shared" si="0"/>
        <v>0</v>
      </c>
      <c r="H20" s="171"/>
      <c r="I20" s="148"/>
      <c r="J20" s="92"/>
      <c r="K20" s="92"/>
      <c r="L20" s="92"/>
      <c r="M20" s="92"/>
      <c r="N20" s="92"/>
      <c r="O20" s="92"/>
    </row>
    <row r="21" spans="1:15" ht="15.75" thickBot="1">
      <c r="A21" s="111" t="s">
        <v>118</v>
      </c>
      <c r="B21" s="154"/>
      <c r="C21" s="95" t="s">
        <v>23</v>
      </c>
      <c r="D21" s="114">
        <f>DATABANK!C67</f>
        <v>32968.639999999999</v>
      </c>
      <c r="E21" s="96" t="s">
        <v>67</v>
      </c>
      <c r="F21" s="126">
        <f>D21*B21</f>
        <v>0</v>
      </c>
      <c r="G21" s="126">
        <f t="shared" si="0"/>
        <v>0</v>
      </c>
      <c r="H21" s="171"/>
      <c r="I21" s="148"/>
      <c r="J21" s="92"/>
      <c r="K21" s="92"/>
      <c r="L21" s="92"/>
      <c r="M21" s="92"/>
      <c r="N21" s="92"/>
      <c r="O21" s="92"/>
    </row>
    <row r="22" spans="1:15" ht="15.75" thickBot="1">
      <c r="A22" s="111" t="s">
        <v>119</v>
      </c>
      <c r="B22" s="115"/>
      <c r="C22" s="113" t="s">
        <v>22</v>
      </c>
      <c r="D22" s="114">
        <f>DATABANK!C68</f>
        <v>53.7</v>
      </c>
      <c r="E22" s="116" t="s">
        <v>29</v>
      </c>
      <c r="F22" s="126">
        <f>B22*D22</f>
        <v>0</v>
      </c>
      <c r="G22" s="126">
        <f t="shared" si="0"/>
        <v>0</v>
      </c>
      <c r="H22" s="171"/>
      <c r="I22" s="148"/>
      <c r="J22" s="92"/>
      <c r="K22" s="92"/>
      <c r="L22" s="92"/>
      <c r="M22" s="92"/>
      <c r="N22" s="92"/>
      <c r="O22" s="92"/>
    </row>
    <row r="23" spans="1:15" ht="15.75" thickBot="1">
      <c r="A23" s="111" t="s">
        <v>121</v>
      </c>
      <c r="B23" s="115"/>
      <c r="C23" s="113" t="s">
        <v>22</v>
      </c>
      <c r="D23" s="114">
        <f>DATABANK!C69</f>
        <v>24.98</v>
      </c>
      <c r="E23" s="116" t="s">
        <v>29</v>
      </c>
      <c r="F23" s="126">
        <f>B23*D23</f>
        <v>0</v>
      </c>
      <c r="G23" s="126">
        <f t="shared" si="0"/>
        <v>0</v>
      </c>
      <c r="H23" s="171"/>
      <c r="I23" s="148"/>
      <c r="J23" s="92"/>
      <c r="K23" s="92"/>
      <c r="L23" s="92"/>
      <c r="M23" s="92"/>
      <c r="N23" s="92"/>
      <c r="O23" s="92"/>
    </row>
    <row r="24" spans="1:15" ht="15.75" thickBot="1">
      <c r="A24" s="74" t="s">
        <v>12</v>
      </c>
      <c r="B24" s="117"/>
      <c r="C24" s="100" t="s">
        <v>22</v>
      </c>
      <c r="D24" s="118"/>
      <c r="E24" s="102"/>
      <c r="F24" s="127"/>
      <c r="G24" s="127"/>
      <c r="H24" s="171"/>
      <c r="I24" s="148"/>
      <c r="J24" s="181">
        <f>ROUNDDOWN(B24,0)</f>
        <v>0</v>
      </c>
      <c r="K24" s="182">
        <f>J24+(B24-J24)/60*100</f>
        <v>0</v>
      </c>
    </row>
    <row r="25" spans="1:15">
      <c r="A25" s="74" t="s">
        <v>74</v>
      </c>
      <c r="B25" s="119">
        <f>ROUND(MIN($E3/100*299,K24),2)</f>
        <v>0</v>
      </c>
      <c r="C25" s="100" t="s">
        <v>22</v>
      </c>
      <c r="D25" s="101">
        <v>0</v>
      </c>
      <c r="E25" s="99" t="s">
        <v>29</v>
      </c>
      <c r="F25" s="125">
        <v>0</v>
      </c>
      <c r="G25" s="125">
        <f t="shared" ref="G25:G35" si="1">ROUND(F25/12,2)</f>
        <v>0</v>
      </c>
      <c r="H25" s="171"/>
      <c r="I25" s="148"/>
    </row>
    <row r="26" spans="1:15">
      <c r="A26" s="74" t="s">
        <v>75</v>
      </c>
      <c r="B26" s="119">
        <f>ROUNDUP(MAX(MIN(2*($K24-B25-B27),2*$E3/100*451),0),0)/2</f>
        <v>0</v>
      </c>
      <c r="C26" s="100" t="s">
        <v>22</v>
      </c>
      <c r="D26" s="101">
        <f>DATABANK!C73</f>
        <v>33.83</v>
      </c>
      <c r="E26" s="99" t="s">
        <v>29</v>
      </c>
      <c r="F26" s="125">
        <f>ROUND(B26*D26,2)</f>
        <v>0</v>
      </c>
      <c r="G26" s="125">
        <f t="shared" si="1"/>
        <v>0</v>
      </c>
      <c r="H26" s="172"/>
      <c r="I26" s="148"/>
    </row>
    <row r="27" spans="1:15">
      <c r="A27" s="74" t="s">
        <v>76</v>
      </c>
      <c r="B27" s="119">
        <f>ROUNDUP(2*MAX($K24-$E3/100*750,0),0)/2</f>
        <v>0</v>
      </c>
      <c r="C27" s="100" t="s">
        <v>22</v>
      </c>
      <c r="D27" s="101">
        <f>DATABANK!C75</f>
        <v>35.130000000000003</v>
      </c>
      <c r="E27" s="99" t="s">
        <v>29</v>
      </c>
      <c r="F27" s="125">
        <f>ROUND(B27*D27,2)</f>
        <v>0</v>
      </c>
      <c r="G27" s="125">
        <f t="shared" si="1"/>
        <v>0</v>
      </c>
      <c r="H27" s="171"/>
      <c r="I27" s="148"/>
    </row>
    <row r="28" spans="1:15" ht="15.75" thickBot="1">
      <c r="A28" s="74" t="s">
        <v>77</v>
      </c>
      <c r="B28" s="119">
        <f>ROUNDUP(2*MAX($K24-$E3/100*836,0),0)/2</f>
        <v>0</v>
      </c>
      <c r="C28" s="100"/>
      <c r="D28" s="101">
        <f>DATABANK!C74</f>
        <v>104.96</v>
      </c>
      <c r="E28" s="99" t="s">
        <v>29</v>
      </c>
      <c r="F28" s="125">
        <f>ROUND(B28*D28,2)</f>
        <v>0</v>
      </c>
      <c r="G28" s="125">
        <f t="shared" si="1"/>
        <v>0</v>
      </c>
      <c r="H28" s="171"/>
      <c r="I28" s="148"/>
    </row>
    <row r="29" spans="1:15" ht="15.75" thickBot="1">
      <c r="A29" s="74" t="s">
        <v>117</v>
      </c>
      <c r="B29" s="117"/>
      <c r="C29" s="100" t="s">
        <v>22</v>
      </c>
      <c r="D29" s="101">
        <f>DATABANK!C$81</f>
        <v>9.0500000000000007</v>
      </c>
      <c r="E29" s="99" t="s">
        <v>29</v>
      </c>
      <c r="F29" s="125">
        <f t="shared" ref="F29:F34" si="2">ROUND(B29*D29,2)</f>
        <v>0</v>
      </c>
      <c r="G29" s="125">
        <f t="shared" si="1"/>
        <v>0</v>
      </c>
      <c r="H29" s="171"/>
      <c r="I29" s="148"/>
    </row>
    <row r="30" spans="1:15" ht="15.75" thickBot="1">
      <c r="A30" s="97" t="s">
        <v>93</v>
      </c>
      <c r="B30" s="120"/>
      <c r="C30" s="100" t="s">
        <v>22</v>
      </c>
      <c r="D30" s="101">
        <f>DATABANK!C85</f>
        <v>40.5</v>
      </c>
      <c r="E30" s="99" t="s">
        <v>29</v>
      </c>
      <c r="F30" s="125">
        <f t="shared" si="2"/>
        <v>0</v>
      </c>
      <c r="G30" s="125">
        <f t="shared" si="1"/>
        <v>0</v>
      </c>
      <c r="H30" s="171"/>
      <c r="I30" s="148"/>
    </row>
    <row r="31" spans="1:15" ht="15.75" thickBot="1">
      <c r="A31" s="97" t="s">
        <v>124</v>
      </c>
      <c r="B31" s="120"/>
      <c r="C31" s="100" t="s">
        <v>22</v>
      </c>
      <c r="D31" s="101">
        <f>DATABANK!C84</f>
        <v>23.63</v>
      </c>
      <c r="E31" s="99" t="s">
        <v>29</v>
      </c>
      <c r="F31" s="125">
        <f t="shared" si="2"/>
        <v>0</v>
      </c>
      <c r="G31" s="125">
        <f t="shared" si="1"/>
        <v>0</v>
      </c>
      <c r="H31" s="171"/>
      <c r="I31" s="148"/>
    </row>
    <row r="32" spans="1:15" ht="15.75" thickBot="1">
      <c r="A32" s="97" t="s">
        <v>96</v>
      </c>
      <c r="B32" s="120"/>
      <c r="C32" s="100" t="s">
        <v>22</v>
      </c>
      <c r="D32" s="101">
        <f>DATABANK!C86</f>
        <v>18.73</v>
      </c>
      <c r="E32" s="99" t="s">
        <v>29</v>
      </c>
      <c r="F32" s="125">
        <f t="shared" si="2"/>
        <v>0</v>
      </c>
      <c r="G32" s="125">
        <f t="shared" si="1"/>
        <v>0</v>
      </c>
      <c r="H32" s="171"/>
      <c r="I32" s="148"/>
    </row>
    <row r="33" spans="1:11" ht="15.75" thickBot="1">
      <c r="A33" s="97" t="s">
        <v>98</v>
      </c>
      <c r="B33" s="120"/>
      <c r="C33" s="100" t="s">
        <v>22</v>
      </c>
      <c r="D33" s="101">
        <f>DATABANK!C87</f>
        <v>32.270000000000003</v>
      </c>
      <c r="E33" s="99" t="s">
        <v>29</v>
      </c>
      <c r="F33" s="125">
        <f t="shared" si="2"/>
        <v>0</v>
      </c>
      <c r="G33" s="125">
        <f t="shared" si="1"/>
        <v>0</v>
      </c>
      <c r="H33" s="171"/>
      <c r="I33" s="148"/>
    </row>
    <row r="34" spans="1:11" ht="15.75" thickBot="1">
      <c r="A34" s="74" t="s">
        <v>120</v>
      </c>
      <c r="B34" s="121"/>
      <c r="C34" s="104" t="s">
        <v>23</v>
      </c>
      <c r="D34" s="101">
        <f>DATABANK!C$94</f>
        <v>12488.12</v>
      </c>
      <c r="E34" s="99" t="s">
        <v>106</v>
      </c>
      <c r="F34" s="125">
        <f t="shared" si="2"/>
        <v>0</v>
      </c>
      <c r="G34" s="125">
        <f t="shared" si="1"/>
        <v>0</v>
      </c>
      <c r="H34" s="171"/>
      <c r="I34" s="148"/>
    </row>
    <row r="35" spans="1:11" ht="16.5" thickBot="1">
      <c r="A35" s="138" t="s">
        <v>8</v>
      </c>
      <c r="B35" s="139"/>
      <c r="C35" s="140"/>
      <c r="D35" s="141"/>
      <c r="E35" s="142"/>
      <c r="F35" s="122">
        <f>SUM(F4:F34)</f>
        <v>297470.74</v>
      </c>
      <c r="G35" s="122">
        <f t="shared" si="1"/>
        <v>24789.23</v>
      </c>
      <c r="H35" s="173">
        <f>SUM(H4:H34)</f>
        <v>0</v>
      </c>
      <c r="I35" s="148"/>
      <c r="K35" s="90"/>
    </row>
    <row r="36" spans="1:11" ht="16.5" thickBot="1">
      <c r="A36" s="138" t="s">
        <v>138</v>
      </c>
      <c r="B36" s="159"/>
      <c r="C36" s="160"/>
      <c r="D36" s="161"/>
      <c r="E36" s="162"/>
      <c r="F36" s="166"/>
      <c r="G36" s="167">
        <f>H35-G35</f>
        <v>-24789.23</v>
      </c>
      <c r="H36" s="194"/>
      <c r="I36" s="148"/>
      <c r="K36" s="195"/>
    </row>
    <row r="37" spans="1:11">
      <c r="A37" s="169" t="s">
        <v>139</v>
      </c>
      <c r="B37" s="68"/>
      <c r="C37" s="61"/>
      <c r="D37" s="62"/>
      <c r="E37" s="63"/>
    </row>
    <row r="38" spans="1:11">
      <c r="A38" s="289"/>
      <c r="B38" s="290"/>
      <c r="C38" s="290"/>
      <c r="D38" s="290"/>
      <c r="E38" s="290"/>
      <c r="F38" s="290"/>
      <c r="G38" s="290"/>
      <c r="H38" s="291"/>
    </row>
    <row r="39" spans="1:11">
      <c r="A39" s="292"/>
      <c r="B39" s="293"/>
      <c r="C39" s="293"/>
      <c r="D39" s="293"/>
      <c r="E39" s="293"/>
      <c r="F39" s="293"/>
      <c r="G39" s="293"/>
      <c r="H39" s="294"/>
    </row>
    <row r="40" spans="1:11">
      <c r="A40" s="292"/>
      <c r="B40" s="293"/>
      <c r="C40" s="293"/>
      <c r="D40" s="293"/>
      <c r="E40" s="293"/>
      <c r="F40" s="293"/>
      <c r="G40" s="293"/>
      <c r="H40" s="294"/>
    </row>
    <row r="41" spans="1:11">
      <c r="A41" s="292"/>
      <c r="B41" s="293"/>
      <c r="C41" s="293"/>
      <c r="D41" s="293"/>
      <c r="E41" s="293"/>
      <c r="F41" s="293"/>
      <c r="G41" s="293"/>
      <c r="H41" s="294"/>
    </row>
    <row r="42" spans="1:11">
      <c r="A42" s="292"/>
      <c r="B42" s="293"/>
      <c r="C42" s="293"/>
      <c r="D42" s="293"/>
      <c r="E42" s="293"/>
      <c r="F42" s="293"/>
      <c r="G42" s="293"/>
      <c r="H42" s="294"/>
    </row>
    <row r="43" spans="1:11">
      <c r="A43" s="295"/>
      <c r="B43" s="296"/>
      <c r="C43" s="296"/>
      <c r="D43" s="296"/>
      <c r="E43" s="296"/>
      <c r="F43" s="296"/>
      <c r="G43" s="296"/>
      <c r="H43" s="297"/>
    </row>
    <row r="44" spans="1:11">
      <c r="A44" s="74" t="s">
        <v>151</v>
      </c>
      <c r="B44" s="168"/>
    </row>
  </sheetData>
  <mergeCells count="4">
    <mergeCell ref="F1:G1"/>
    <mergeCell ref="F2:G2"/>
    <mergeCell ref="H2:H3"/>
    <mergeCell ref="A38:H4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U32"/>
  <sheetViews>
    <sheetView zoomScaleNormal="100" workbookViewId="0">
      <selection activeCell="I7" sqref="I7:I8"/>
    </sheetView>
  </sheetViews>
  <sheetFormatPr defaultRowHeight="15"/>
  <cols>
    <col min="1" max="1" width="17.44140625" style="12" bestFit="1" customWidth="1"/>
    <col min="2" max="2" width="6.88671875" style="6" customWidth="1"/>
    <col min="3" max="3" width="6" style="13" bestFit="1" customWidth="1"/>
    <col min="4" max="4" width="9.109375" style="15" bestFit="1" customWidth="1"/>
    <col min="5" max="5" width="13.88671875" style="14" customWidth="1"/>
    <col min="6" max="7" width="10.77734375" style="23" customWidth="1"/>
    <col min="8" max="8" width="8" style="38" customWidth="1"/>
    <col min="9" max="9" width="8.6640625" style="88" customWidth="1"/>
    <col min="10" max="10" width="6.44140625" style="88" bestFit="1" customWidth="1"/>
    <col min="11" max="11" width="5.77734375" style="91" customWidth="1"/>
    <col min="12" max="14" width="6.44140625" style="89" bestFit="1" customWidth="1"/>
    <col min="15" max="20" width="5.77734375" style="89" customWidth="1"/>
    <col min="21" max="21" width="6.44140625" style="89" bestFit="1" customWidth="1"/>
    <col min="22" max="16384" width="8.88671875" style="5"/>
  </cols>
  <sheetData>
    <row r="1" spans="1:20" ht="16.5" thickBot="1">
      <c r="A1" s="105" t="s">
        <v>30</v>
      </c>
      <c r="B1" s="106"/>
      <c r="C1" s="107"/>
      <c r="D1" s="107"/>
      <c r="E1" s="108"/>
      <c r="F1" s="284" t="s">
        <v>122</v>
      </c>
      <c r="G1" s="285"/>
    </row>
    <row r="2" spans="1:20" ht="15.75" customHeight="1" thickBot="1">
      <c r="A2" s="74"/>
      <c r="B2" s="109"/>
      <c r="C2" s="109"/>
      <c r="D2" s="109"/>
      <c r="E2" s="109"/>
      <c r="F2" s="286" t="str">
        <f>DATABANK!B20</f>
        <v>1.4.2010</v>
      </c>
      <c r="G2" s="286"/>
      <c r="H2" s="287" t="s">
        <v>137</v>
      </c>
      <c r="I2" s="298" t="s">
        <v>149</v>
      </c>
    </row>
    <row r="3" spans="1:20" ht="15.75" customHeight="1" thickBot="1">
      <c r="A3" s="74" t="s">
        <v>47</v>
      </c>
      <c r="B3" s="200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8"/>
      <c r="I3" s="299"/>
    </row>
    <row r="4" spans="1:20">
      <c r="A4" s="74" t="s">
        <v>24</v>
      </c>
      <c r="B4" s="110">
        <v>35</v>
      </c>
      <c r="C4" s="100"/>
      <c r="D4" s="101">
        <f>DATABANK!B35</f>
        <v>326477</v>
      </c>
      <c r="E4" s="102" t="s">
        <v>67</v>
      </c>
      <c r="F4" s="123">
        <f>ROUND($E$3/100*D4,2)</f>
        <v>326477</v>
      </c>
      <c r="G4" s="123">
        <f>ROUND(F4/12,2)</f>
        <v>27206.42</v>
      </c>
      <c r="H4" s="170"/>
      <c r="I4" s="190"/>
      <c r="J4" s="92"/>
      <c r="K4" s="92"/>
      <c r="L4" s="92"/>
      <c r="M4" s="92"/>
      <c r="N4" s="92"/>
    </row>
    <row r="5" spans="1:20">
      <c r="A5" s="111" t="s">
        <v>108</v>
      </c>
      <c r="B5" s="95"/>
      <c r="C5" s="95"/>
      <c r="D5" s="94">
        <f>(DATABANK!B39-DATABANK!B35)</f>
        <v>19526</v>
      </c>
      <c r="E5" s="133" t="s">
        <v>67</v>
      </c>
      <c r="F5" s="124">
        <f>ROUND(E$3/100*D5,2)</f>
        <v>19526</v>
      </c>
      <c r="G5" s="124">
        <f t="shared" ref="G5:G23" si="0">ROUND(F5/12,2)</f>
        <v>1627.17</v>
      </c>
      <c r="H5" s="170"/>
      <c r="I5" s="187"/>
      <c r="J5" s="92"/>
      <c r="K5" s="92"/>
      <c r="L5" s="92"/>
      <c r="M5" s="92"/>
      <c r="N5" s="92"/>
      <c r="O5" s="88"/>
      <c r="P5" s="88"/>
      <c r="Q5" s="88"/>
      <c r="R5" s="88"/>
      <c r="S5" s="88"/>
      <c r="T5" s="88"/>
    </row>
    <row r="6" spans="1:20" ht="15.75" thickBot="1">
      <c r="A6" s="111" t="s">
        <v>123</v>
      </c>
      <c r="B6" s="112"/>
      <c r="C6" s="113"/>
      <c r="D6" s="114">
        <f>DATABANK!C64</f>
        <v>5795.74</v>
      </c>
      <c r="E6" s="96" t="s">
        <v>68</v>
      </c>
      <c r="F6" s="126">
        <f>D6</f>
        <v>5795.74</v>
      </c>
      <c r="G6" s="126">
        <f t="shared" si="0"/>
        <v>482.98</v>
      </c>
      <c r="H6" s="170"/>
      <c r="I6" s="187">
        <f t="shared" ref="I6:I11" si="1">0.173*F6</f>
        <v>1002.6630199999998</v>
      </c>
      <c r="J6" s="92"/>
      <c r="K6" s="92"/>
      <c r="L6" s="92"/>
      <c r="M6" s="92"/>
      <c r="N6" s="92"/>
    </row>
    <row r="7" spans="1:20" ht="15.75" thickBot="1">
      <c r="A7" s="111" t="s">
        <v>163</v>
      </c>
      <c r="B7" s="153"/>
      <c r="C7" s="95" t="s">
        <v>23</v>
      </c>
      <c r="D7" s="114">
        <f>DATABANK!C65</f>
        <v>8991.4500000000007</v>
      </c>
      <c r="E7" s="96" t="s">
        <v>68</v>
      </c>
      <c r="F7" s="126">
        <f>D7*B7</f>
        <v>0</v>
      </c>
      <c r="G7" s="126">
        <f t="shared" si="0"/>
        <v>0</v>
      </c>
      <c r="H7" s="170"/>
      <c r="I7" s="187">
        <f t="shared" si="1"/>
        <v>0</v>
      </c>
      <c r="J7" s="92"/>
      <c r="K7" s="92"/>
      <c r="L7" s="92"/>
      <c r="M7" s="92"/>
      <c r="N7" s="92"/>
    </row>
    <row r="8" spans="1:20" ht="15.75" thickBot="1">
      <c r="A8" s="111" t="s">
        <v>162</v>
      </c>
      <c r="B8" s="154"/>
      <c r="C8" s="95" t="s">
        <v>23</v>
      </c>
      <c r="D8" s="114">
        <f>DATABANK!C66</f>
        <v>6993.35</v>
      </c>
      <c r="E8" s="96" t="s">
        <v>68</v>
      </c>
      <c r="F8" s="126">
        <f>D8*B8</f>
        <v>0</v>
      </c>
      <c r="G8" s="126">
        <f t="shared" si="0"/>
        <v>0</v>
      </c>
      <c r="H8" s="171"/>
      <c r="I8" s="187">
        <f t="shared" si="1"/>
        <v>0</v>
      </c>
      <c r="J8" s="92"/>
      <c r="K8" s="92"/>
      <c r="L8" s="92"/>
      <c r="M8" s="92"/>
      <c r="N8" s="92"/>
    </row>
    <row r="9" spans="1:20" ht="15.75" thickBot="1">
      <c r="A9" s="111" t="s">
        <v>118</v>
      </c>
      <c r="B9" s="154"/>
      <c r="C9" s="95" t="s">
        <v>23</v>
      </c>
      <c r="D9" s="94">
        <f>DATABANK!C67</f>
        <v>32968.639999999999</v>
      </c>
      <c r="E9" s="96" t="s">
        <v>67</v>
      </c>
      <c r="F9" s="126">
        <f>D9*B9</f>
        <v>0</v>
      </c>
      <c r="G9" s="126">
        <f t="shared" si="0"/>
        <v>0</v>
      </c>
      <c r="H9" s="170"/>
      <c r="I9" s="187">
        <f t="shared" si="1"/>
        <v>0</v>
      </c>
      <c r="J9" s="92"/>
      <c r="K9" s="92"/>
      <c r="L9" s="92"/>
      <c r="M9" s="92"/>
      <c r="N9" s="92"/>
    </row>
    <row r="10" spans="1:20" ht="15.75" thickBot="1">
      <c r="A10" s="111" t="s">
        <v>119</v>
      </c>
      <c r="B10" s="115"/>
      <c r="C10" s="113" t="s">
        <v>22</v>
      </c>
      <c r="D10" s="114">
        <f>DATABANK!C68</f>
        <v>53.7</v>
      </c>
      <c r="E10" s="116" t="s">
        <v>29</v>
      </c>
      <c r="F10" s="126">
        <f>B10*D10</f>
        <v>0</v>
      </c>
      <c r="G10" s="126">
        <f t="shared" si="0"/>
        <v>0</v>
      </c>
      <c r="H10" s="171"/>
      <c r="I10" s="187">
        <f t="shared" si="1"/>
        <v>0</v>
      </c>
      <c r="J10" s="92"/>
      <c r="K10" s="92"/>
      <c r="L10" s="92"/>
      <c r="M10" s="92"/>
      <c r="N10" s="92"/>
    </row>
    <row r="11" spans="1:20" ht="15.75" thickBot="1">
      <c r="A11" s="111" t="s">
        <v>121</v>
      </c>
      <c r="B11" s="115"/>
      <c r="C11" s="113" t="s">
        <v>22</v>
      </c>
      <c r="D11" s="114">
        <f>DATABANK!C69</f>
        <v>24.98</v>
      </c>
      <c r="E11" s="116" t="s">
        <v>29</v>
      </c>
      <c r="F11" s="126">
        <f>B11*D11</f>
        <v>0</v>
      </c>
      <c r="G11" s="126">
        <f t="shared" si="0"/>
        <v>0</v>
      </c>
      <c r="H11" s="170"/>
      <c r="I11" s="187">
        <f t="shared" si="1"/>
        <v>0</v>
      </c>
      <c r="J11" s="92"/>
      <c r="K11" s="92"/>
      <c r="L11" s="92"/>
      <c r="M11" s="92"/>
      <c r="N11" s="92"/>
    </row>
    <row r="12" spans="1:20" ht="15.75" thickBot="1">
      <c r="A12" s="74" t="s">
        <v>12</v>
      </c>
      <c r="B12" s="117"/>
      <c r="C12" s="100" t="s">
        <v>22</v>
      </c>
      <c r="D12" s="118"/>
      <c r="E12" s="102"/>
      <c r="F12" s="127"/>
      <c r="G12" s="127"/>
      <c r="H12" s="170"/>
      <c r="I12" s="187"/>
      <c r="J12" s="181">
        <f>ROUNDDOWN(B12,0)</f>
        <v>0</v>
      </c>
      <c r="K12" s="182">
        <f>J12+(B12-J12)/60*100</f>
        <v>0</v>
      </c>
    </row>
    <row r="13" spans="1:20">
      <c r="A13" s="74" t="s">
        <v>74</v>
      </c>
      <c r="B13" s="119">
        <f>ROUND(MIN(E$3/100*299,K12),2)</f>
        <v>0</v>
      </c>
      <c r="C13" s="100" t="s">
        <v>22</v>
      </c>
      <c r="D13" s="101">
        <v>0</v>
      </c>
      <c r="E13" s="99" t="s">
        <v>29</v>
      </c>
      <c r="F13" s="125">
        <v>0</v>
      </c>
      <c r="G13" s="125">
        <f t="shared" si="0"/>
        <v>0</v>
      </c>
      <c r="H13" s="171"/>
      <c r="I13" s="187"/>
    </row>
    <row r="14" spans="1:20">
      <c r="A14" s="74" t="s">
        <v>75</v>
      </c>
      <c r="B14" s="119">
        <f>ROUNDUP(MAX(MIN(2*($K12-B13-B15),2*E3/100*451),0),0)/2</f>
        <v>0</v>
      </c>
      <c r="C14" s="100" t="s">
        <v>22</v>
      </c>
      <c r="D14" s="101">
        <f>DATABANK!C77</f>
        <v>12.44</v>
      </c>
      <c r="E14" s="99" t="s">
        <v>29</v>
      </c>
      <c r="F14" s="125">
        <f>ROUND(B14*D14,2)</f>
        <v>0</v>
      </c>
      <c r="G14" s="125">
        <f t="shared" si="0"/>
        <v>0</v>
      </c>
      <c r="H14" s="170"/>
      <c r="I14" s="187"/>
    </row>
    <row r="15" spans="1:20">
      <c r="A15" s="74" t="s">
        <v>76</v>
      </c>
      <c r="B15" s="119">
        <f>ROUNDUP(2*MAX($K12-E3/100*750,0),0)/2</f>
        <v>0</v>
      </c>
      <c r="C15" s="100" t="s">
        <v>22</v>
      </c>
      <c r="D15" s="101">
        <f>DATABANK!C75</f>
        <v>35.130000000000003</v>
      </c>
      <c r="E15" s="99" t="s">
        <v>29</v>
      </c>
      <c r="F15" s="125">
        <f>ROUND(B15*D15,2)</f>
        <v>0</v>
      </c>
      <c r="G15" s="125">
        <f t="shared" si="0"/>
        <v>0</v>
      </c>
      <c r="H15" s="170"/>
      <c r="I15" s="187"/>
    </row>
    <row r="16" spans="1:20" ht="15.75" thickBot="1">
      <c r="A16" s="74" t="s">
        <v>77</v>
      </c>
      <c r="B16" s="119">
        <f>ROUNDUP(2*MAX($K12-E3/100*836,0),0)/2</f>
        <v>0</v>
      </c>
      <c r="C16" s="100" t="s">
        <v>22</v>
      </c>
      <c r="D16" s="101">
        <f>DATABANK!C78</f>
        <v>104.96</v>
      </c>
      <c r="E16" s="99" t="s">
        <v>29</v>
      </c>
      <c r="F16" s="125">
        <f>ROUND(B16*D16,2)</f>
        <v>0</v>
      </c>
      <c r="G16" s="125">
        <f t="shared" si="0"/>
        <v>0</v>
      </c>
      <c r="H16" s="171"/>
      <c r="I16" s="188"/>
    </row>
    <row r="17" spans="1:10" ht="15.75" thickBot="1">
      <c r="A17" s="74" t="s">
        <v>117</v>
      </c>
      <c r="B17" s="117"/>
      <c r="C17" s="100" t="s">
        <v>22</v>
      </c>
      <c r="D17" s="101">
        <f>DATABANK!C$81</f>
        <v>9.0500000000000007</v>
      </c>
      <c r="E17" s="99" t="s">
        <v>29</v>
      </c>
      <c r="F17" s="125">
        <f t="shared" ref="F17:F22" si="2">ROUND(B17*D17,2)</f>
        <v>0</v>
      </c>
      <c r="G17" s="125">
        <f t="shared" si="0"/>
        <v>0</v>
      </c>
      <c r="H17" s="170"/>
      <c r="I17" s="188"/>
    </row>
    <row r="18" spans="1:10" ht="15.75" thickBot="1">
      <c r="A18" s="97" t="s">
        <v>93</v>
      </c>
      <c r="B18" s="120"/>
      <c r="C18" s="100" t="s">
        <v>22</v>
      </c>
      <c r="D18" s="101">
        <f>DATABANK!C85</f>
        <v>40.5</v>
      </c>
      <c r="E18" s="99" t="s">
        <v>29</v>
      </c>
      <c r="F18" s="125">
        <f t="shared" si="2"/>
        <v>0</v>
      </c>
      <c r="G18" s="125">
        <f t="shared" si="0"/>
        <v>0</v>
      </c>
      <c r="H18" s="170"/>
      <c r="I18" s="188"/>
    </row>
    <row r="19" spans="1:10" ht="15.75" thickBot="1">
      <c r="A19" s="97" t="s">
        <v>124</v>
      </c>
      <c r="B19" s="120"/>
      <c r="C19" s="100" t="s">
        <v>22</v>
      </c>
      <c r="D19" s="101">
        <f>DATABANK!C84</f>
        <v>23.63</v>
      </c>
      <c r="E19" s="99" t="s">
        <v>29</v>
      </c>
      <c r="F19" s="125">
        <f>ROUND(B19*D19,2)</f>
        <v>0</v>
      </c>
      <c r="G19" s="125">
        <f t="shared" si="0"/>
        <v>0</v>
      </c>
      <c r="H19" s="171"/>
      <c r="I19" s="188"/>
    </row>
    <row r="20" spans="1:10" ht="15.75" thickBot="1">
      <c r="A20" s="97" t="s">
        <v>96</v>
      </c>
      <c r="B20" s="120"/>
      <c r="C20" s="100" t="s">
        <v>22</v>
      </c>
      <c r="D20" s="101">
        <f>DATABANK!C86</f>
        <v>18.73</v>
      </c>
      <c r="E20" s="99" t="s">
        <v>29</v>
      </c>
      <c r="F20" s="125">
        <f t="shared" si="2"/>
        <v>0</v>
      </c>
      <c r="G20" s="125">
        <f t="shared" si="0"/>
        <v>0</v>
      </c>
      <c r="H20" s="171"/>
      <c r="I20" s="188"/>
    </row>
    <row r="21" spans="1:10" ht="15.75" thickBot="1">
      <c r="A21" s="97" t="s">
        <v>98</v>
      </c>
      <c r="B21" s="120"/>
      <c r="C21" s="100" t="s">
        <v>22</v>
      </c>
      <c r="D21" s="101">
        <f>DATABANK!C87</f>
        <v>32.270000000000003</v>
      </c>
      <c r="E21" s="99" t="s">
        <v>29</v>
      </c>
      <c r="F21" s="125">
        <f t="shared" si="2"/>
        <v>0</v>
      </c>
      <c r="G21" s="125">
        <f t="shared" si="0"/>
        <v>0</v>
      </c>
      <c r="H21" s="171"/>
      <c r="I21" s="189"/>
    </row>
    <row r="22" spans="1:10" ht="15.75" thickBot="1">
      <c r="A22" s="74" t="s">
        <v>120</v>
      </c>
      <c r="B22" s="121"/>
      <c r="C22" s="104" t="s">
        <v>23</v>
      </c>
      <c r="D22" s="101">
        <f>DATABANK!C$94</f>
        <v>12488.12</v>
      </c>
      <c r="E22" s="99" t="s">
        <v>106</v>
      </c>
      <c r="F22" s="125">
        <f t="shared" si="2"/>
        <v>0</v>
      </c>
      <c r="G22" s="125">
        <f t="shared" si="0"/>
        <v>0</v>
      </c>
      <c r="H22" s="171"/>
      <c r="I22" s="188"/>
    </row>
    <row r="23" spans="1:10" ht="16.5" thickBot="1">
      <c r="A23" s="138" t="s">
        <v>8</v>
      </c>
      <c r="B23" s="139"/>
      <c r="C23" s="140"/>
      <c r="D23" s="141"/>
      <c r="E23" s="142"/>
      <c r="F23" s="122">
        <f>SUM(F4:F22)</f>
        <v>351798.74</v>
      </c>
      <c r="G23" s="122">
        <f t="shared" si="0"/>
        <v>29316.560000000001</v>
      </c>
      <c r="H23" s="173">
        <f>SUM(H4:H22)</f>
        <v>0</v>
      </c>
      <c r="I23" s="196">
        <f>SUM(I5:I22)</f>
        <v>1002.6630199999998</v>
      </c>
      <c r="J23" s="195"/>
    </row>
    <row r="24" spans="1:10" ht="16.5" thickBot="1">
      <c r="A24" s="138" t="s">
        <v>138</v>
      </c>
      <c r="B24" s="159"/>
      <c r="C24" s="160"/>
      <c r="D24" s="161"/>
      <c r="E24" s="162"/>
      <c r="F24" s="166"/>
      <c r="G24" s="167">
        <f>H23-G23</f>
        <v>-29316.560000000001</v>
      </c>
      <c r="H24" s="194"/>
      <c r="I24" s="192">
        <f>I23/12</f>
        <v>83.555251666666649</v>
      </c>
      <c r="J24" s="195"/>
    </row>
    <row r="25" spans="1:10" ht="15.75" thickBot="1">
      <c r="A25" s="169" t="s">
        <v>139</v>
      </c>
      <c r="B25" s="68"/>
      <c r="C25" s="61"/>
      <c r="D25" s="62"/>
      <c r="E25" s="63"/>
      <c r="H25" s="23"/>
      <c r="I25" s="193" t="s">
        <v>150</v>
      </c>
    </row>
    <row r="26" spans="1:10">
      <c r="A26" s="289"/>
      <c r="B26" s="290"/>
      <c r="C26" s="290"/>
      <c r="D26" s="290"/>
      <c r="E26" s="290"/>
      <c r="F26" s="290"/>
      <c r="G26" s="290"/>
      <c r="H26" s="291"/>
      <c r="I26" s="5"/>
    </row>
    <row r="27" spans="1:10">
      <c r="A27" s="292"/>
      <c r="B27" s="293"/>
      <c r="C27" s="293"/>
      <c r="D27" s="293"/>
      <c r="E27" s="293"/>
      <c r="F27" s="293"/>
      <c r="G27" s="293"/>
      <c r="H27" s="294"/>
    </row>
    <row r="28" spans="1:10">
      <c r="A28" s="292"/>
      <c r="B28" s="293"/>
      <c r="C28" s="293"/>
      <c r="D28" s="293"/>
      <c r="E28" s="293"/>
      <c r="F28" s="293"/>
      <c r="G28" s="293"/>
      <c r="H28" s="294"/>
    </row>
    <row r="29" spans="1:10">
      <c r="A29" s="292"/>
      <c r="B29" s="293"/>
      <c r="C29" s="293"/>
      <c r="D29" s="293"/>
      <c r="E29" s="293"/>
      <c r="F29" s="293"/>
      <c r="G29" s="293"/>
      <c r="H29" s="294"/>
    </row>
    <row r="30" spans="1:10">
      <c r="A30" s="292"/>
      <c r="B30" s="293"/>
      <c r="C30" s="293"/>
      <c r="D30" s="293"/>
      <c r="E30" s="293"/>
      <c r="F30" s="293"/>
      <c r="G30" s="293"/>
      <c r="H30" s="294"/>
    </row>
    <row r="31" spans="1:10">
      <c r="A31" s="295"/>
      <c r="B31" s="296"/>
      <c r="C31" s="296"/>
      <c r="D31" s="296"/>
      <c r="E31" s="296"/>
      <c r="F31" s="296"/>
      <c r="G31" s="296"/>
      <c r="H31" s="297"/>
    </row>
    <row r="32" spans="1:10">
      <c r="A32" s="74" t="s">
        <v>151</v>
      </c>
      <c r="B32" s="168"/>
      <c r="H32" s="23"/>
    </row>
  </sheetData>
  <mergeCells count="5">
    <mergeCell ref="I2:I3"/>
    <mergeCell ref="F1:G1"/>
    <mergeCell ref="F2:G2"/>
    <mergeCell ref="A26:H31"/>
    <mergeCell ref="H2:H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8" orientation="portrait" r:id="rId1"/>
  <headerFooter alignWithMargins="0"/>
  <ignoredErrors>
    <ignoredError sqref="E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U52"/>
  <sheetViews>
    <sheetView zoomScaleNormal="100" workbookViewId="0"/>
  </sheetViews>
  <sheetFormatPr defaultRowHeight="15"/>
  <cols>
    <col min="1" max="1" width="18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7" width="10.77734375" style="23" customWidth="1"/>
    <col min="8" max="8" width="10.44140625" style="38" bestFit="1" customWidth="1"/>
    <col min="9" max="10" width="6.44140625" style="88" bestFit="1" customWidth="1"/>
    <col min="11" max="11" width="6.44140625" style="208" bestFit="1" customWidth="1"/>
    <col min="12" max="14" width="6.44140625" style="89" bestFit="1" customWidth="1"/>
    <col min="15" max="20" width="5.77734375" style="89" customWidth="1"/>
    <col min="21" max="21" width="6.44140625" style="89" bestFit="1" customWidth="1"/>
    <col min="22" max="16384" width="8.88671875" style="5"/>
  </cols>
  <sheetData>
    <row r="1" spans="1:20" ht="16.5" thickBot="1">
      <c r="A1" s="105" t="s">
        <v>30</v>
      </c>
      <c r="B1" s="106"/>
      <c r="C1" s="107"/>
      <c r="D1" s="107"/>
      <c r="E1" s="108"/>
      <c r="F1" s="284" t="s">
        <v>11</v>
      </c>
      <c r="G1" s="285"/>
      <c r="I1" s="181"/>
    </row>
    <row r="2" spans="1:20" ht="16.5" thickBot="1">
      <c r="A2" s="202" t="str">
        <f>IF(B5+B10+B14+B18&gt;1,"Snyd! - du skal kun skrive i 1 af de 4 felter for anciennitet",".")</f>
        <v>.</v>
      </c>
      <c r="B2" s="109"/>
      <c r="C2" s="109"/>
      <c r="D2" s="109"/>
      <c r="E2" s="109"/>
      <c r="F2" s="286" t="str">
        <f>DATABANK!B20</f>
        <v>1.4.2010</v>
      </c>
      <c r="G2" s="286"/>
      <c r="H2" s="287" t="s">
        <v>137</v>
      </c>
      <c r="I2" s="181"/>
    </row>
    <row r="3" spans="1:20" ht="15.75" thickBot="1">
      <c r="A3" s="74" t="s">
        <v>47</v>
      </c>
      <c r="B3" s="211">
        <v>37</v>
      </c>
      <c r="C3" s="97"/>
      <c r="D3" s="98" t="s">
        <v>28</v>
      </c>
      <c r="E3" s="199">
        <f>B3/0.37</f>
        <v>100</v>
      </c>
      <c r="F3" s="128" t="s">
        <v>44</v>
      </c>
      <c r="G3" s="128" t="s">
        <v>43</v>
      </c>
      <c r="H3" s="288"/>
      <c r="I3" s="181"/>
    </row>
    <row r="4" spans="1:20" ht="15.75" thickBot="1">
      <c r="A4" s="74" t="s">
        <v>24</v>
      </c>
      <c r="B4" s="110">
        <v>30</v>
      </c>
      <c r="C4" s="100"/>
      <c r="D4" s="101">
        <f>DATABANK!B30</f>
        <v>304199</v>
      </c>
      <c r="E4" s="102" t="s">
        <v>67</v>
      </c>
      <c r="F4" s="123">
        <f>ROUND($E$3/100*D4,2)</f>
        <v>304199</v>
      </c>
      <c r="G4" s="123">
        <f>ROUND(F4/12,2)</f>
        <v>25349.919999999998</v>
      </c>
      <c r="H4" s="170"/>
      <c r="I4" s="197">
        <v>25037.26</v>
      </c>
      <c r="J4" s="92"/>
      <c r="K4" s="209"/>
      <c r="L4" s="92"/>
      <c r="M4" s="92"/>
      <c r="N4" s="92"/>
    </row>
    <row r="5" spans="1:20" ht="15.75" thickBot="1">
      <c r="A5" s="143" t="s">
        <v>101</v>
      </c>
      <c r="B5" s="103"/>
      <c r="C5" s="129" t="s">
        <v>23</v>
      </c>
      <c r="D5" s="130"/>
      <c r="E5" s="131"/>
      <c r="F5" s="123"/>
      <c r="G5" s="123"/>
      <c r="H5" s="170"/>
      <c r="I5" s="197"/>
      <c r="J5" s="92"/>
      <c r="K5" s="209"/>
      <c r="L5" s="92"/>
      <c r="M5" s="92"/>
      <c r="N5" s="92"/>
      <c r="O5" s="88"/>
      <c r="P5" s="88"/>
      <c r="Q5" s="88"/>
      <c r="R5" s="88"/>
      <c r="S5" s="88"/>
      <c r="T5" s="88"/>
    </row>
    <row r="6" spans="1:20">
      <c r="A6" s="144" t="s">
        <v>100</v>
      </c>
      <c r="B6" s="104"/>
      <c r="C6" s="104"/>
      <c r="D6" s="93">
        <f>DATABANK!C57</f>
        <v>3746.44</v>
      </c>
      <c r="E6" s="132" t="s">
        <v>67</v>
      </c>
      <c r="F6" s="123">
        <f>ROUND(B5*E$3/100*D6,2)</f>
        <v>0</v>
      </c>
      <c r="G6" s="123">
        <f t="shared" ref="G6:G28" si="0">ROUND(F6/12,2)</f>
        <v>0</v>
      </c>
      <c r="H6" s="170"/>
      <c r="I6" s="197">
        <f t="shared" ref="I6:I13" si="1">ROUND(H6/12,2)</f>
        <v>0</v>
      </c>
      <c r="J6" s="92"/>
      <c r="K6" s="209"/>
      <c r="L6" s="92"/>
      <c r="M6" s="92"/>
      <c r="N6" s="92"/>
      <c r="O6" s="88"/>
      <c r="P6" s="88"/>
      <c r="Q6" s="88"/>
      <c r="R6" s="88"/>
      <c r="S6" s="88"/>
      <c r="T6" s="88"/>
    </row>
    <row r="7" spans="1:20">
      <c r="A7" s="145" t="s">
        <v>134</v>
      </c>
      <c r="B7" s="95"/>
      <c r="C7" s="95"/>
      <c r="D7" s="94">
        <f>(DATABANK!B33-DATABANK!B30)</f>
        <v>13152</v>
      </c>
      <c r="E7" s="133" t="s">
        <v>67</v>
      </c>
      <c r="F7" s="124">
        <f>ROUND(B5*E$3/100*D7,2)</f>
        <v>0</v>
      </c>
      <c r="G7" s="124">
        <f t="shared" si="0"/>
        <v>0</v>
      </c>
      <c r="H7" s="170"/>
      <c r="I7" s="197">
        <f t="shared" si="1"/>
        <v>0</v>
      </c>
      <c r="J7" s="92"/>
      <c r="K7" s="209"/>
      <c r="L7" s="92"/>
      <c r="M7" s="92"/>
      <c r="N7" s="92"/>
      <c r="O7" s="88"/>
      <c r="P7" s="88"/>
      <c r="Q7" s="88"/>
      <c r="R7" s="88"/>
      <c r="S7" s="88"/>
      <c r="T7" s="88"/>
    </row>
    <row r="8" spans="1:20">
      <c r="A8" s="145" t="s">
        <v>108</v>
      </c>
      <c r="B8" s="95"/>
      <c r="C8" s="95"/>
      <c r="D8" s="94">
        <f>(DATABANK!B34-DATABANK!B33)</f>
        <v>4531</v>
      </c>
      <c r="E8" s="133" t="s">
        <v>67</v>
      </c>
      <c r="F8" s="124">
        <f>ROUND(B5*E$3/100*D8,2)</f>
        <v>0</v>
      </c>
      <c r="G8" s="124">
        <f t="shared" si="0"/>
        <v>0</v>
      </c>
      <c r="H8" s="170"/>
      <c r="I8" s="197">
        <f t="shared" si="1"/>
        <v>0</v>
      </c>
      <c r="J8" s="92"/>
      <c r="K8" s="209"/>
      <c r="L8" s="92"/>
      <c r="M8" s="92"/>
      <c r="N8" s="92"/>
      <c r="O8" s="88"/>
      <c r="P8" s="88"/>
      <c r="Q8" s="88"/>
      <c r="R8" s="88"/>
      <c r="S8" s="88"/>
      <c r="T8" s="88"/>
    </row>
    <row r="9" spans="1:20" ht="16.5" thickBot="1">
      <c r="A9" s="146" t="s">
        <v>109</v>
      </c>
      <c r="B9" s="134"/>
      <c r="C9" s="134"/>
      <c r="D9" s="135">
        <f>(DATABANK!B36-DATABANK!B34)</f>
        <v>9265</v>
      </c>
      <c r="E9" s="136" t="s">
        <v>67</v>
      </c>
      <c r="F9" s="124">
        <f>ROUND(B5*E$3/100*D9,2)</f>
        <v>0</v>
      </c>
      <c r="G9" s="124">
        <f t="shared" si="0"/>
        <v>0</v>
      </c>
      <c r="H9" s="170"/>
      <c r="I9" s="197">
        <f t="shared" si="1"/>
        <v>0</v>
      </c>
      <c r="J9" s="92"/>
      <c r="K9" s="209"/>
      <c r="L9" s="92"/>
      <c r="M9" s="92"/>
      <c r="N9" s="92"/>
    </row>
    <row r="10" spans="1:20" ht="15.75" thickBot="1">
      <c r="A10" s="143" t="s">
        <v>102</v>
      </c>
      <c r="B10" s="103"/>
      <c r="C10" s="129" t="s">
        <v>23</v>
      </c>
      <c r="D10" s="130">
        <f>(DATABANK!B34-DATABANK!B30)</f>
        <v>17683</v>
      </c>
      <c r="E10" s="131" t="s">
        <v>67</v>
      </c>
      <c r="F10" s="125">
        <f>ROUND(B10*E$3/100*D10,2)</f>
        <v>0</v>
      </c>
      <c r="G10" s="125">
        <f t="shared" si="0"/>
        <v>0</v>
      </c>
      <c r="H10" s="171"/>
      <c r="I10" s="197">
        <f t="shared" si="1"/>
        <v>0</v>
      </c>
      <c r="J10" s="92"/>
      <c r="K10" s="209"/>
      <c r="L10" s="92"/>
      <c r="M10" s="92"/>
      <c r="N10" s="92"/>
      <c r="O10" s="88"/>
      <c r="P10" s="88"/>
      <c r="Q10" s="88"/>
      <c r="R10" s="88"/>
      <c r="S10" s="88"/>
      <c r="T10" s="88"/>
    </row>
    <row r="11" spans="1:20">
      <c r="A11" s="144" t="s">
        <v>100</v>
      </c>
      <c r="B11" s="104"/>
      <c r="C11" s="104"/>
      <c r="D11" s="93">
        <f>DATABANK!C57</f>
        <v>3746.44</v>
      </c>
      <c r="E11" s="132" t="s">
        <v>67</v>
      </c>
      <c r="F11" s="123">
        <f>ROUND(B10*E$3/100*D11,2)</f>
        <v>0</v>
      </c>
      <c r="G11" s="123">
        <f t="shared" si="0"/>
        <v>0</v>
      </c>
      <c r="H11" s="170"/>
      <c r="I11" s="197">
        <f t="shared" si="1"/>
        <v>0</v>
      </c>
      <c r="J11" s="92"/>
      <c r="K11" s="209"/>
      <c r="L11" s="92"/>
      <c r="M11" s="92"/>
      <c r="N11" s="92"/>
      <c r="O11" s="88"/>
      <c r="P11" s="88"/>
      <c r="Q11" s="88"/>
      <c r="R11" s="88"/>
      <c r="S11" s="88"/>
      <c r="T11" s="88"/>
    </row>
    <row r="12" spans="1:20">
      <c r="A12" s="145" t="s">
        <v>134</v>
      </c>
      <c r="B12" s="95"/>
      <c r="C12" s="95"/>
      <c r="D12" s="94">
        <f>(DATABANK!B37-DATABANK!B34)</f>
        <v>14008</v>
      </c>
      <c r="E12" s="133" t="s">
        <v>67</v>
      </c>
      <c r="F12" s="124">
        <f>ROUND(B10*E$3/100*D12,2)</f>
        <v>0</v>
      </c>
      <c r="G12" s="124">
        <f t="shared" si="0"/>
        <v>0</v>
      </c>
      <c r="H12" s="170"/>
      <c r="I12" s="197">
        <f t="shared" si="1"/>
        <v>0</v>
      </c>
      <c r="J12" s="92"/>
      <c r="K12" s="209"/>
      <c r="L12" s="92"/>
      <c r="M12" s="92"/>
      <c r="N12" s="92"/>
      <c r="O12" s="88"/>
      <c r="P12" s="88"/>
      <c r="Q12" s="88"/>
      <c r="R12" s="88"/>
      <c r="S12" s="88"/>
      <c r="T12" s="88"/>
    </row>
    <row r="13" spans="1:20" ht="15.75" thickBot="1">
      <c r="A13" s="146" t="s">
        <v>135</v>
      </c>
      <c r="B13" s="137"/>
      <c r="C13" s="137"/>
      <c r="D13" s="135">
        <f>(DATABANK!B38-DATABANK!B37)</f>
        <v>5125</v>
      </c>
      <c r="E13" s="136" t="s">
        <v>67</v>
      </c>
      <c r="F13" s="124">
        <f>ROUND(B10*E$3/100*D13,2)</f>
        <v>0</v>
      </c>
      <c r="G13" s="124">
        <f t="shared" si="0"/>
        <v>0</v>
      </c>
      <c r="H13" s="170"/>
      <c r="I13" s="197">
        <f t="shared" si="1"/>
        <v>0</v>
      </c>
      <c r="J13" s="92"/>
      <c r="K13" s="209"/>
      <c r="L13" s="92"/>
      <c r="M13" s="92"/>
      <c r="N13" s="92"/>
      <c r="O13" s="88"/>
      <c r="P13" s="88"/>
      <c r="Q13" s="88"/>
      <c r="R13" s="88"/>
      <c r="S13" s="88"/>
      <c r="T13" s="88"/>
    </row>
    <row r="14" spans="1:20" ht="15.75" thickBot="1">
      <c r="A14" s="143" t="s">
        <v>103</v>
      </c>
      <c r="B14" s="103"/>
      <c r="C14" s="129" t="s">
        <v>23</v>
      </c>
      <c r="D14" s="130">
        <f>(DATABANK!B$39-DATABANK!B$30)</f>
        <v>41804</v>
      </c>
      <c r="E14" s="131" t="s">
        <v>67</v>
      </c>
      <c r="F14" s="125">
        <f>ROUND(B14*E$3/100*D14,2)</f>
        <v>0</v>
      </c>
      <c r="G14" s="125">
        <f t="shared" si="0"/>
        <v>0</v>
      </c>
      <c r="H14" s="171"/>
      <c r="I14" s="197">
        <v>3435.84</v>
      </c>
      <c r="J14" s="92"/>
      <c r="K14" s="209"/>
      <c r="L14" s="92"/>
      <c r="M14" s="92"/>
      <c r="N14" s="92"/>
      <c r="O14" s="88"/>
      <c r="P14" s="88"/>
      <c r="Q14" s="88"/>
      <c r="R14" s="88"/>
      <c r="S14" s="88"/>
      <c r="T14" s="88"/>
    </row>
    <row r="15" spans="1:20">
      <c r="A15" s="144" t="s">
        <v>100</v>
      </c>
      <c r="B15" s="104"/>
      <c r="C15" s="104"/>
      <c r="D15" s="93">
        <v>0</v>
      </c>
      <c r="E15" s="132" t="s">
        <v>67</v>
      </c>
      <c r="F15" s="123">
        <f>ROUND(B14*E$3/100*D15,2)</f>
        <v>0</v>
      </c>
      <c r="G15" s="123">
        <f t="shared" si="0"/>
        <v>0</v>
      </c>
      <c r="H15" s="170"/>
      <c r="I15" s="197"/>
      <c r="J15" s="92"/>
      <c r="K15" s="209"/>
      <c r="L15" s="92"/>
      <c r="M15" s="92"/>
      <c r="N15" s="92"/>
      <c r="O15" s="88"/>
      <c r="P15" s="88"/>
      <c r="Q15" s="88"/>
      <c r="R15" s="88"/>
      <c r="S15" s="88"/>
      <c r="T15" s="88"/>
    </row>
    <row r="16" spans="1:20">
      <c r="A16" s="145" t="s">
        <v>134</v>
      </c>
      <c r="B16" s="95"/>
      <c r="C16" s="95"/>
      <c r="D16" s="94">
        <f>(DATABANK!B42-DATABANK!B39)</f>
        <v>15426</v>
      </c>
      <c r="E16" s="133" t="s">
        <v>67</v>
      </c>
      <c r="F16" s="124">
        <f>ROUND(B14*E$3/100*D16,2)</f>
        <v>0</v>
      </c>
      <c r="G16" s="124">
        <f t="shared" si="0"/>
        <v>0</v>
      </c>
      <c r="H16" s="170"/>
      <c r="I16" s="197">
        <v>1267.3399999999999</v>
      </c>
      <c r="J16" s="92"/>
      <c r="K16" s="209"/>
      <c r="L16" s="92"/>
      <c r="M16" s="92"/>
      <c r="N16" s="92"/>
      <c r="O16" s="88"/>
      <c r="P16" s="88"/>
      <c r="Q16" s="88"/>
      <c r="R16" s="88"/>
      <c r="S16" s="88"/>
      <c r="T16" s="88"/>
    </row>
    <row r="17" spans="1:20" ht="15.75" thickBot="1">
      <c r="A17" s="146" t="s">
        <v>135</v>
      </c>
      <c r="B17" s="137"/>
      <c r="C17" s="137"/>
      <c r="D17" s="135">
        <f>(DATABANK!B43-DATABANK!B42)</f>
        <v>8032</v>
      </c>
      <c r="E17" s="136" t="s">
        <v>67</v>
      </c>
      <c r="F17" s="124">
        <f>ROUND(B14*E$3/100*D17,2)</f>
        <v>0</v>
      </c>
      <c r="G17" s="124">
        <f t="shared" si="0"/>
        <v>0</v>
      </c>
      <c r="H17" s="170"/>
      <c r="I17" s="197">
        <v>661</v>
      </c>
      <c r="J17" s="92"/>
      <c r="K17" s="209"/>
      <c r="L17" s="92"/>
      <c r="M17" s="92"/>
      <c r="N17" s="92"/>
    </row>
    <row r="18" spans="1:20" ht="15.75" thickBot="1">
      <c r="A18" s="143" t="s">
        <v>107</v>
      </c>
      <c r="B18" s="103"/>
      <c r="C18" s="129" t="s">
        <v>23</v>
      </c>
      <c r="D18" s="130">
        <f>D14</f>
        <v>41804</v>
      </c>
      <c r="E18" s="131" t="s">
        <v>67</v>
      </c>
      <c r="F18" s="125">
        <f>ROUND(B18*E$3/100*D18,2)</f>
        <v>0</v>
      </c>
      <c r="G18" s="125">
        <f t="shared" si="0"/>
        <v>0</v>
      </c>
      <c r="H18" s="171"/>
      <c r="I18" s="197">
        <f>ROUND(H18/12,2)</f>
        <v>0</v>
      </c>
      <c r="J18" s="92"/>
      <c r="K18" s="209"/>
      <c r="L18" s="92"/>
      <c r="M18" s="92"/>
      <c r="N18" s="92"/>
      <c r="O18" s="88"/>
      <c r="P18" s="88"/>
      <c r="Q18" s="88"/>
      <c r="R18" s="88"/>
      <c r="S18" s="88"/>
      <c r="T18" s="88"/>
    </row>
    <row r="19" spans="1:20">
      <c r="A19" s="144" t="s">
        <v>100</v>
      </c>
      <c r="B19" s="104"/>
      <c r="C19" s="104"/>
      <c r="D19" s="93">
        <f>DATABANK!C57</f>
        <v>3746.44</v>
      </c>
      <c r="E19" s="132" t="s">
        <v>67</v>
      </c>
      <c r="F19" s="123">
        <f>ROUND(B18*E$3/100*D19,2)</f>
        <v>0</v>
      </c>
      <c r="G19" s="123">
        <f>ROUND(F19/12,2)</f>
        <v>0</v>
      </c>
      <c r="H19" s="170"/>
      <c r="I19" s="197">
        <f>ROUND(H19/12,2)</f>
        <v>0</v>
      </c>
      <c r="J19" s="92"/>
      <c r="K19" s="209"/>
      <c r="L19" s="92"/>
      <c r="M19" s="92"/>
      <c r="N19" s="92"/>
    </row>
    <row r="20" spans="1:20">
      <c r="A20" s="144" t="s">
        <v>100</v>
      </c>
      <c r="B20" s="104"/>
      <c r="C20" s="104"/>
      <c r="D20" s="93">
        <f>DATABANK!C60-D19</f>
        <v>8741.68</v>
      </c>
      <c r="E20" s="132" t="s">
        <v>67</v>
      </c>
      <c r="F20" s="123">
        <f>ROUND(B18*E$3/100*D20,2)</f>
        <v>0</v>
      </c>
      <c r="G20" s="123">
        <f t="shared" si="0"/>
        <v>0</v>
      </c>
      <c r="H20" s="170"/>
      <c r="I20" s="197">
        <f>ROUND(H20/12,2)</f>
        <v>0</v>
      </c>
      <c r="J20" s="92"/>
      <c r="K20" s="209"/>
      <c r="L20" s="92"/>
      <c r="M20" s="92"/>
      <c r="N20" s="92"/>
    </row>
    <row r="21" spans="1:20">
      <c r="A21" s="145" t="s">
        <v>134</v>
      </c>
      <c r="B21" s="95"/>
      <c r="C21" s="95"/>
      <c r="D21" s="94">
        <f>D16</f>
        <v>15426</v>
      </c>
      <c r="E21" s="133" t="s">
        <v>67</v>
      </c>
      <c r="F21" s="124">
        <f>ROUND(B18*E$3/100*D21,2)</f>
        <v>0</v>
      </c>
      <c r="G21" s="124">
        <f t="shared" si="0"/>
        <v>0</v>
      </c>
      <c r="H21" s="170"/>
      <c r="I21" s="197">
        <f>ROUND(H21/12,2)</f>
        <v>0</v>
      </c>
      <c r="J21" s="92"/>
      <c r="K21" s="209"/>
      <c r="L21" s="92"/>
      <c r="M21" s="92"/>
      <c r="N21" s="92"/>
    </row>
    <row r="22" spans="1:20" ht="15.75" thickBot="1">
      <c r="A22" s="146" t="s">
        <v>135</v>
      </c>
      <c r="B22" s="137"/>
      <c r="C22" s="137"/>
      <c r="D22" s="135">
        <f>D17</f>
        <v>8032</v>
      </c>
      <c r="E22" s="136" t="s">
        <v>67</v>
      </c>
      <c r="F22" s="124">
        <f>ROUND(B18*E$3/100*D22,2)</f>
        <v>0</v>
      </c>
      <c r="G22" s="124">
        <f t="shared" si="0"/>
        <v>0</v>
      </c>
      <c r="H22" s="170"/>
      <c r="I22" s="197">
        <f>ROUND(H22/12,2)</f>
        <v>0</v>
      </c>
      <c r="J22" s="92"/>
      <c r="K22" s="209"/>
      <c r="L22" s="92"/>
      <c r="M22" s="92"/>
      <c r="N22" s="92"/>
    </row>
    <row r="23" spans="1:20" ht="15.75" thickBot="1">
      <c r="A23" s="111" t="s">
        <v>123</v>
      </c>
      <c r="B23" s="112"/>
      <c r="C23" s="113"/>
      <c r="D23" s="114">
        <f>IF(B39+B40&gt;0,DATABANK!C63,DATABANK!C62)</f>
        <v>8792.89</v>
      </c>
      <c r="E23" s="96" t="s">
        <v>68</v>
      </c>
      <c r="F23" s="126">
        <f>D23</f>
        <v>8792.89</v>
      </c>
      <c r="G23" s="126">
        <f t="shared" si="0"/>
        <v>732.74</v>
      </c>
      <c r="H23" s="171"/>
      <c r="I23" s="197">
        <v>267.18</v>
      </c>
      <c r="J23" s="92"/>
      <c r="K23" s="209"/>
      <c r="L23" s="92"/>
      <c r="M23" s="92"/>
      <c r="N23" s="92"/>
    </row>
    <row r="24" spans="1:20" ht="15.75" thickBot="1">
      <c r="A24" s="111" t="s">
        <v>163</v>
      </c>
      <c r="B24" s="153"/>
      <c r="C24" s="95" t="s">
        <v>23</v>
      </c>
      <c r="D24" s="114">
        <f>DATABANK!C65</f>
        <v>8991.4500000000007</v>
      </c>
      <c r="E24" s="96" t="s">
        <v>68</v>
      </c>
      <c r="F24" s="126">
        <f>D24*B24</f>
        <v>0</v>
      </c>
      <c r="G24" s="126">
        <f t="shared" si="0"/>
        <v>0</v>
      </c>
      <c r="H24" s="171"/>
      <c r="I24" s="197"/>
      <c r="J24" s="92"/>
      <c r="K24" s="209"/>
      <c r="L24" s="92"/>
      <c r="M24" s="92"/>
      <c r="N24" s="92"/>
    </row>
    <row r="25" spans="1:20" ht="15.75" thickBot="1">
      <c r="A25" s="111" t="s">
        <v>162</v>
      </c>
      <c r="B25" s="154"/>
      <c r="C25" s="95" t="s">
        <v>23</v>
      </c>
      <c r="D25" s="114">
        <f>DATABANK!C66</f>
        <v>6993.35</v>
      </c>
      <c r="E25" s="96" t="s">
        <v>68</v>
      </c>
      <c r="F25" s="126">
        <f>D25*B25</f>
        <v>0</v>
      </c>
      <c r="G25" s="126">
        <f t="shared" si="0"/>
        <v>0</v>
      </c>
      <c r="H25" s="171"/>
      <c r="I25" s="197"/>
      <c r="J25" s="92"/>
      <c r="K25" s="209"/>
      <c r="L25" s="92"/>
      <c r="M25" s="92"/>
      <c r="N25" s="92"/>
    </row>
    <row r="26" spans="1:20" ht="15.75" thickBot="1">
      <c r="A26" s="111" t="s">
        <v>118</v>
      </c>
      <c r="B26" s="154"/>
      <c r="C26" s="95" t="s">
        <v>23</v>
      </c>
      <c r="D26" s="94">
        <f>DATABANK!C67</f>
        <v>32968.639999999999</v>
      </c>
      <c r="E26" s="96" t="s">
        <v>67</v>
      </c>
      <c r="F26" s="126">
        <f>D26*B26</f>
        <v>0</v>
      </c>
      <c r="G26" s="126">
        <f t="shared" si="0"/>
        <v>0</v>
      </c>
      <c r="H26" s="171"/>
      <c r="I26" s="197"/>
      <c r="J26" s="92"/>
      <c r="K26" s="209"/>
      <c r="L26" s="92"/>
      <c r="M26" s="92"/>
      <c r="N26" s="92"/>
    </row>
    <row r="27" spans="1:20" ht="15.75" thickBot="1">
      <c r="A27" s="111" t="s">
        <v>119</v>
      </c>
      <c r="B27" s="115"/>
      <c r="C27" s="113" t="s">
        <v>22</v>
      </c>
      <c r="D27" s="114">
        <f>DATABANK!C68</f>
        <v>53.7</v>
      </c>
      <c r="E27" s="116" t="s">
        <v>29</v>
      </c>
      <c r="F27" s="126">
        <f>B27*D27</f>
        <v>0</v>
      </c>
      <c r="G27" s="126">
        <f t="shared" si="0"/>
        <v>0</v>
      </c>
      <c r="H27" s="171"/>
      <c r="I27" s="197"/>
      <c r="J27" s="92"/>
      <c r="K27" s="209"/>
      <c r="L27" s="92"/>
      <c r="M27" s="92"/>
      <c r="N27" s="92"/>
    </row>
    <row r="28" spans="1:20" ht="15.75" thickBot="1">
      <c r="A28" s="111" t="s">
        <v>121</v>
      </c>
      <c r="B28" s="115"/>
      <c r="C28" s="113" t="s">
        <v>22</v>
      </c>
      <c r="D28" s="114">
        <f>DATABANK!C69</f>
        <v>24.98</v>
      </c>
      <c r="E28" s="116" t="s">
        <v>29</v>
      </c>
      <c r="F28" s="126">
        <f>B28*D28</f>
        <v>0</v>
      </c>
      <c r="G28" s="126">
        <f t="shared" si="0"/>
        <v>0</v>
      </c>
      <c r="H28" s="171"/>
      <c r="I28" s="197"/>
      <c r="J28" s="92"/>
      <c r="K28" s="209"/>
      <c r="L28" s="92"/>
      <c r="M28" s="92"/>
      <c r="N28" s="92"/>
    </row>
    <row r="29" spans="1:20" ht="15.75" thickBot="1">
      <c r="A29" s="111" t="s">
        <v>165</v>
      </c>
      <c r="B29" s="115"/>
      <c r="C29" s="95" t="s">
        <v>23</v>
      </c>
      <c r="D29" s="114">
        <f>DATABANK!C59</f>
        <v>8741.68</v>
      </c>
      <c r="E29" s="96" t="s">
        <v>68</v>
      </c>
      <c r="F29" s="126">
        <f>B29*D29</f>
        <v>0</v>
      </c>
      <c r="G29" s="126">
        <f>ROUND(F29/12,2)</f>
        <v>0</v>
      </c>
      <c r="H29" s="171"/>
      <c r="I29" s="197"/>
      <c r="J29" s="92"/>
      <c r="K29" s="209"/>
      <c r="L29" s="92"/>
      <c r="M29" s="92"/>
      <c r="N29" s="92"/>
    </row>
    <row r="30" spans="1:20" ht="15.75" thickBot="1">
      <c r="A30" s="74" t="s">
        <v>12</v>
      </c>
      <c r="B30" s="117"/>
      <c r="C30" s="100" t="s">
        <v>22</v>
      </c>
      <c r="D30" s="118"/>
      <c r="E30" s="102"/>
      <c r="F30" s="127"/>
      <c r="G30" s="127"/>
      <c r="H30" s="171"/>
      <c r="I30" s="181"/>
      <c r="J30" s="181">
        <f>ROUNDDOWN(B30,0)</f>
        <v>0</v>
      </c>
      <c r="K30" s="210">
        <f>J30+(B30-J30)/60*100</f>
        <v>0</v>
      </c>
    </row>
    <row r="31" spans="1:20">
      <c r="A31" s="74" t="s">
        <v>146</v>
      </c>
      <c r="B31" s="150">
        <f>ROUND(MIN($E3/100*299,K30),2)</f>
        <v>0</v>
      </c>
      <c r="C31" s="100" t="s">
        <v>22</v>
      </c>
      <c r="D31" s="101">
        <v>0</v>
      </c>
      <c r="E31" s="99" t="s">
        <v>29</v>
      </c>
      <c r="F31" s="125">
        <v>0</v>
      </c>
      <c r="G31" s="125">
        <f t="shared" ref="G31:G43" si="2">ROUND(F31/12,2)</f>
        <v>0</v>
      </c>
      <c r="H31" s="171"/>
      <c r="I31" s="181"/>
    </row>
    <row r="32" spans="1:20">
      <c r="A32" s="74" t="s">
        <v>147</v>
      </c>
      <c r="B32" s="119">
        <f>IF(B30&gt;749.999,451,ROUNDUP(MAX(MIN(2*($K30-B31-B33),2*$E3/100*451),0),0)/2)</f>
        <v>0</v>
      </c>
      <c r="C32" s="100" t="s">
        <v>22</v>
      </c>
      <c r="D32" s="101">
        <f>IF(B$39=1,0,DATABANK!C73)</f>
        <v>33.83</v>
      </c>
      <c r="E32" s="99" t="s">
        <v>29</v>
      </c>
      <c r="F32" s="125">
        <f>ROUND(B32*D32,2)</f>
        <v>0</v>
      </c>
      <c r="G32" s="125">
        <f t="shared" si="2"/>
        <v>0</v>
      </c>
      <c r="H32" s="204"/>
      <c r="I32" s="181"/>
    </row>
    <row r="33" spans="1:11">
      <c r="A33" s="74" t="s">
        <v>148</v>
      </c>
      <c r="B33" s="119">
        <f>ROUNDUP(2*MAX($K30-$E3/100*750,0),0)/2</f>
        <v>0</v>
      </c>
      <c r="C33" s="100" t="s">
        <v>22</v>
      </c>
      <c r="D33" s="101">
        <f>IF(B$39=1,0,DATABANK!C74)</f>
        <v>104.96</v>
      </c>
      <c r="E33" s="99" t="s">
        <v>29</v>
      </c>
      <c r="F33" s="125">
        <f>ROUND(B33*D33,2)</f>
        <v>0</v>
      </c>
      <c r="G33" s="125">
        <f t="shared" si="2"/>
        <v>0</v>
      </c>
      <c r="H33" s="171"/>
      <c r="I33" s="181"/>
    </row>
    <row r="34" spans="1:11" ht="15.75" thickBot="1">
      <c r="A34" s="97" t="s">
        <v>116</v>
      </c>
      <c r="B34" s="149">
        <f>B39*ROUNDUP(2*MAX((K30-681),0),0)/2</f>
        <v>0</v>
      </c>
      <c r="C34" s="100" t="s">
        <v>22</v>
      </c>
      <c r="D34" s="101">
        <f>DATABANK!C80</f>
        <v>124.88</v>
      </c>
      <c r="E34" s="99" t="s">
        <v>29</v>
      </c>
      <c r="F34" s="125">
        <f>ROUND(B34*D34,2)</f>
        <v>0</v>
      </c>
      <c r="G34" s="125">
        <f t="shared" si="2"/>
        <v>0</v>
      </c>
      <c r="H34" s="171"/>
      <c r="I34" s="181"/>
    </row>
    <row r="35" spans="1:11" ht="15.75" thickBot="1">
      <c r="A35" s="74" t="s">
        <v>117</v>
      </c>
      <c r="B35" s="117"/>
      <c r="C35" s="100" t="s">
        <v>22</v>
      </c>
      <c r="D35" s="101">
        <f>IF(B39=1,0,DATABANK!C$81)</f>
        <v>9.0500000000000007</v>
      </c>
      <c r="E35" s="99" t="s">
        <v>29</v>
      </c>
      <c r="F35" s="125">
        <f>ROUND(K35*D35,2)</f>
        <v>0</v>
      </c>
      <c r="G35" s="125">
        <f t="shared" si="2"/>
        <v>0</v>
      </c>
      <c r="H35" s="171"/>
      <c r="I35" s="181"/>
      <c r="J35" s="181">
        <f>ROUNDDOWN(B35,0)</f>
        <v>0</v>
      </c>
      <c r="K35" s="210">
        <f>J35+(B35-J35)/60*100</f>
        <v>0</v>
      </c>
    </row>
    <row r="36" spans="1:11" ht="15.75" thickBot="1">
      <c r="A36" s="97" t="s">
        <v>93</v>
      </c>
      <c r="B36" s="120"/>
      <c r="C36" s="100" t="s">
        <v>22</v>
      </c>
      <c r="D36" s="101">
        <f>IF(B39=1,0,DATABANK!C85)</f>
        <v>40.5</v>
      </c>
      <c r="E36" s="99" t="s">
        <v>29</v>
      </c>
      <c r="F36" s="125">
        <f t="shared" ref="F36:F42" si="3">ROUND(B36*D36,2)</f>
        <v>0</v>
      </c>
      <c r="G36" s="125">
        <f t="shared" si="2"/>
        <v>0</v>
      </c>
      <c r="H36" s="171"/>
      <c r="I36" s="181"/>
    </row>
    <row r="37" spans="1:11" ht="15.75" thickBot="1">
      <c r="A37" s="97" t="s">
        <v>96</v>
      </c>
      <c r="B37" s="120"/>
      <c r="C37" s="100" t="s">
        <v>22</v>
      </c>
      <c r="D37" s="101">
        <f>DATABANK!C86</f>
        <v>18.73</v>
      </c>
      <c r="E37" s="99" t="s">
        <v>29</v>
      </c>
      <c r="F37" s="125">
        <f t="shared" si="3"/>
        <v>0</v>
      </c>
      <c r="G37" s="125">
        <f t="shared" si="2"/>
        <v>0</v>
      </c>
      <c r="H37" s="171"/>
      <c r="I37" s="181"/>
    </row>
    <row r="38" spans="1:11" ht="15.75" thickBot="1">
      <c r="A38" s="97" t="s">
        <v>98</v>
      </c>
      <c r="B38" s="120"/>
      <c r="C38" s="100" t="s">
        <v>22</v>
      </c>
      <c r="D38" s="101">
        <f>DATABANK!C87</f>
        <v>32.270000000000003</v>
      </c>
      <c r="E38" s="99" t="s">
        <v>29</v>
      </c>
      <c r="F38" s="125">
        <f t="shared" si="3"/>
        <v>0</v>
      </c>
      <c r="G38" s="125">
        <f t="shared" si="2"/>
        <v>0</v>
      </c>
      <c r="H38" s="171"/>
      <c r="I38" s="181"/>
    </row>
    <row r="39" spans="1:11" ht="15.75" thickBot="1">
      <c r="A39" s="97" t="s">
        <v>158</v>
      </c>
      <c r="B39" s="151"/>
      <c r="C39" s="104" t="s">
        <v>23</v>
      </c>
      <c r="D39" s="101">
        <f>DATABANK!C72</f>
        <v>35341.379999999997</v>
      </c>
      <c r="E39" s="102" t="s">
        <v>67</v>
      </c>
      <c r="F39" s="125">
        <f>E3/100*ROUND(B39*D39,2)</f>
        <v>0</v>
      </c>
      <c r="G39" s="125">
        <f t="shared" si="2"/>
        <v>0</v>
      </c>
      <c r="H39" s="171"/>
      <c r="I39" s="181"/>
    </row>
    <row r="40" spans="1:11" ht="15.75" thickBot="1">
      <c r="A40" s="97" t="s">
        <v>164</v>
      </c>
      <c r="B40" s="151"/>
      <c r="C40" s="104" t="s">
        <v>23</v>
      </c>
      <c r="D40" s="101">
        <f>DATABANK!C93</f>
        <v>23227.9</v>
      </c>
      <c r="E40" s="102" t="s">
        <v>67</v>
      </c>
      <c r="F40" s="125">
        <f>E3/100*ROUND(B40*D40,2)</f>
        <v>0</v>
      </c>
      <c r="G40" s="125">
        <f t="shared" si="2"/>
        <v>0</v>
      </c>
      <c r="H40" s="171"/>
      <c r="I40" s="181"/>
    </row>
    <row r="41" spans="1:11" ht="15.75" thickBot="1">
      <c r="A41" s="97" t="s">
        <v>112</v>
      </c>
      <c r="B41" s="152">
        <f>B30*B40</f>
        <v>0</v>
      </c>
      <c r="C41" s="100" t="s">
        <v>22</v>
      </c>
      <c r="D41" s="101">
        <f>DATABANK!C84</f>
        <v>23.63</v>
      </c>
      <c r="E41" s="99" t="s">
        <v>29</v>
      </c>
      <c r="F41" s="125">
        <f t="shared" si="3"/>
        <v>0</v>
      </c>
      <c r="G41" s="125">
        <f t="shared" si="2"/>
        <v>0</v>
      </c>
      <c r="H41" s="171"/>
      <c r="I41" s="181"/>
    </row>
    <row r="42" spans="1:11" ht="15.75" thickBot="1">
      <c r="A42" s="74" t="s">
        <v>120</v>
      </c>
      <c r="B42" s="151"/>
      <c r="C42" s="104" t="s">
        <v>23</v>
      </c>
      <c r="D42" s="101">
        <f>DATABANK!C$94</f>
        <v>12488.12</v>
      </c>
      <c r="E42" s="99" t="s">
        <v>106</v>
      </c>
      <c r="F42" s="125">
        <f t="shared" si="3"/>
        <v>0</v>
      </c>
      <c r="G42" s="125">
        <f t="shared" si="2"/>
        <v>0</v>
      </c>
      <c r="H42" s="171"/>
      <c r="I42" s="181"/>
    </row>
    <row r="43" spans="1:11" ht="16.5" thickBot="1">
      <c r="A43" s="138" t="s">
        <v>8</v>
      </c>
      <c r="B43" s="139"/>
      <c r="C43" s="140"/>
      <c r="D43" s="141"/>
      <c r="E43" s="142"/>
      <c r="F43" s="122">
        <f>SUM(F4:F42)</f>
        <v>312991.89</v>
      </c>
      <c r="G43" s="122">
        <f t="shared" si="2"/>
        <v>26082.66</v>
      </c>
      <c r="H43" s="173">
        <f>SUM(H4:H42)</f>
        <v>0</v>
      </c>
      <c r="I43" s="198">
        <f>SUM(I4:I42)</f>
        <v>30668.62</v>
      </c>
    </row>
    <row r="44" spans="1:11" ht="16.5" thickBot="1">
      <c r="A44" s="138" t="s">
        <v>138</v>
      </c>
      <c r="B44" s="159"/>
      <c r="C44" s="160"/>
      <c r="D44" s="161"/>
      <c r="E44" s="162"/>
      <c r="F44" s="205"/>
      <c r="G44" s="167">
        <f>H43-G43</f>
        <v>-26082.66</v>
      </c>
      <c r="H44" s="23"/>
    </row>
    <row r="45" spans="1:11">
      <c r="A45" s="169" t="s">
        <v>139</v>
      </c>
      <c r="B45" s="68"/>
      <c r="C45" s="61"/>
      <c r="D45" s="62"/>
      <c r="E45" s="63"/>
      <c r="H45" s="23"/>
    </row>
    <row r="46" spans="1:11">
      <c r="A46" s="289"/>
      <c r="B46" s="290"/>
      <c r="C46" s="290"/>
      <c r="D46" s="290"/>
      <c r="E46" s="290"/>
      <c r="F46" s="290"/>
      <c r="G46" s="290"/>
      <c r="H46" s="291"/>
    </row>
    <row r="47" spans="1:11">
      <c r="A47" s="292"/>
      <c r="B47" s="293"/>
      <c r="C47" s="293"/>
      <c r="D47" s="293"/>
      <c r="E47" s="293"/>
      <c r="F47" s="293"/>
      <c r="G47" s="293"/>
      <c r="H47" s="294"/>
    </row>
    <row r="48" spans="1:11">
      <c r="A48" s="292"/>
      <c r="B48" s="293"/>
      <c r="C48" s="293"/>
      <c r="D48" s="293"/>
      <c r="E48" s="293"/>
      <c r="F48" s="293"/>
      <c r="G48" s="293"/>
      <c r="H48" s="294"/>
    </row>
    <row r="49" spans="1:8">
      <c r="A49" s="292"/>
      <c r="B49" s="293"/>
      <c r="C49" s="293"/>
      <c r="D49" s="293"/>
      <c r="E49" s="293"/>
      <c r="F49" s="293"/>
      <c r="G49" s="293"/>
      <c r="H49" s="294"/>
    </row>
    <row r="50" spans="1:8">
      <c r="A50" s="292"/>
      <c r="B50" s="293"/>
      <c r="C50" s="293"/>
      <c r="D50" s="293"/>
      <c r="E50" s="293"/>
      <c r="F50" s="293"/>
      <c r="G50" s="293"/>
      <c r="H50" s="294"/>
    </row>
    <row r="51" spans="1:8">
      <c r="A51" s="295"/>
      <c r="B51" s="296"/>
      <c r="C51" s="296"/>
      <c r="D51" s="296"/>
      <c r="E51" s="296"/>
      <c r="F51" s="296"/>
      <c r="G51" s="296"/>
      <c r="H51" s="297"/>
    </row>
    <row r="52" spans="1:8">
      <c r="A52" s="74" t="s">
        <v>151</v>
      </c>
      <c r="B52" s="168"/>
      <c r="H52" s="23"/>
    </row>
  </sheetData>
  <mergeCells count="4">
    <mergeCell ref="F1:G1"/>
    <mergeCell ref="F2:G2"/>
    <mergeCell ref="H2:H3"/>
    <mergeCell ref="A46:H5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horizontalDpi="4294967293" r:id="rId1"/>
  <headerFooter alignWithMargins="0"/>
  <ignoredErrors>
    <ignoredError sqref="E3" unlockedFormula="1"/>
    <ignoredError sqref="F35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37"/>
  <sheetViews>
    <sheetView zoomScaleNormal="100" workbookViewId="0"/>
  </sheetViews>
  <sheetFormatPr defaultRowHeight="15"/>
  <cols>
    <col min="1" max="1" width="18.109375" style="12" customWidth="1"/>
    <col min="2" max="2" width="6.88671875" style="6" customWidth="1"/>
    <col min="3" max="3" width="6" style="13" bestFit="1" customWidth="1"/>
    <col min="4" max="4" width="8.77734375" style="15" customWidth="1"/>
    <col min="5" max="5" width="13.88671875" style="14" customWidth="1"/>
    <col min="6" max="8" width="10.77734375" style="23" customWidth="1"/>
    <col min="9" max="9" width="8" style="38" customWidth="1"/>
    <col min="10" max="10" width="5.77734375" style="88" customWidth="1"/>
    <col min="11" max="11" width="6.44140625" style="88" bestFit="1" customWidth="1"/>
    <col min="12" max="12" width="5.77734375" style="91" customWidth="1"/>
    <col min="13" max="15" width="6.44140625" style="89" bestFit="1" customWidth="1"/>
    <col min="16" max="21" width="5.77734375" style="89" customWidth="1"/>
    <col min="22" max="22" width="6.44140625" style="89" bestFit="1" customWidth="1"/>
    <col min="23" max="16384" width="8.88671875" style="5"/>
  </cols>
  <sheetData>
    <row r="1" spans="1:21" ht="16.5" thickBot="1">
      <c r="A1" s="105" t="s">
        <v>30</v>
      </c>
      <c r="B1" s="302"/>
      <c r="C1" s="303"/>
      <c r="D1" s="303"/>
      <c r="E1" s="304"/>
      <c r="F1" s="284" t="s">
        <v>113</v>
      </c>
      <c r="G1" s="301"/>
      <c r="H1" s="147"/>
    </row>
    <row r="2" spans="1:21" ht="15.75" customHeight="1" thickBot="1">
      <c r="A2" s="74"/>
      <c r="B2" s="109"/>
      <c r="C2" s="109"/>
      <c r="D2" s="109"/>
      <c r="E2" s="109"/>
      <c r="F2" s="286" t="str">
        <f>DATABANK!B20</f>
        <v>1.4.2010</v>
      </c>
      <c r="G2" s="286"/>
      <c r="H2" s="305" t="s">
        <v>137</v>
      </c>
      <c r="I2" s="298" t="s">
        <v>149</v>
      </c>
    </row>
    <row r="3" spans="1:21" ht="15" customHeight="1" thickBot="1">
      <c r="A3" s="74" t="s">
        <v>47</v>
      </c>
      <c r="B3" s="200">
        <v>37</v>
      </c>
      <c r="C3" s="97"/>
      <c r="D3" s="201" t="s">
        <v>28</v>
      </c>
      <c r="E3" s="199">
        <f>B3/0.37</f>
        <v>100</v>
      </c>
      <c r="F3" s="128" t="s">
        <v>44</v>
      </c>
      <c r="G3" s="158" t="s">
        <v>43</v>
      </c>
      <c r="H3" s="306"/>
      <c r="I3" s="300"/>
    </row>
    <row r="4" spans="1:21">
      <c r="A4" s="74" t="s">
        <v>24</v>
      </c>
      <c r="B4" s="110">
        <v>42</v>
      </c>
      <c r="C4" s="100"/>
      <c r="D4" s="101">
        <f>DATABANK!B42</f>
        <v>361429</v>
      </c>
      <c r="E4" s="102" t="s">
        <v>67</v>
      </c>
      <c r="F4" s="123">
        <f>ROUND($E$3/100*D4,2)</f>
        <v>361429</v>
      </c>
      <c r="G4" s="123">
        <f>ROUND(F4/12,2)</f>
        <v>30119.08</v>
      </c>
      <c r="H4" s="183"/>
      <c r="I4" s="190"/>
      <c r="J4" s="92"/>
      <c r="K4" s="92"/>
      <c r="L4" s="92"/>
      <c r="M4" s="92"/>
      <c r="N4" s="92"/>
      <c r="O4" s="92"/>
    </row>
    <row r="5" spans="1:21" ht="15.75" thickBot="1">
      <c r="A5" s="74" t="s">
        <v>100</v>
      </c>
      <c r="B5" s="104"/>
      <c r="C5" s="104"/>
      <c r="D5" s="93">
        <f>DATABANK!C61</f>
        <v>16234.56</v>
      </c>
      <c r="E5" s="132" t="s">
        <v>67</v>
      </c>
      <c r="F5" s="123">
        <f>ROUND(E$3/100*D5,2)</f>
        <v>16234.56</v>
      </c>
      <c r="G5" s="123">
        <f t="shared" ref="G5:G28" si="0">ROUND(F5/12,2)</f>
        <v>1352.88</v>
      </c>
      <c r="H5" s="183"/>
      <c r="I5" s="186"/>
      <c r="J5" s="92"/>
      <c r="K5" s="92"/>
      <c r="L5" s="92"/>
      <c r="M5" s="92"/>
      <c r="N5" s="92"/>
      <c r="O5" s="92"/>
      <c r="P5" s="88"/>
      <c r="Q5" s="88"/>
      <c r="R5" s="88"/>
      <c r="S5" s="88"/>
      <c r="T5" s="88"/>
      <c r="U5" s="88"/>
    </row>
    <row r="6" spans="1:21" ht="15.75" thickBot="1">
      <c r="A6" s="74" t="s">
        <v>133</v>
      </c>
      <c r="B6" s="151"/>
      <c r="C6" s="104" t="s">
        <v>23</v>
      </c>
      <c r="D6" s="93"/>
      <c r="E6" s="132"/>
      <c r="F6" s="123">
        <f>ROUND(B6*F5*0.173*0.983,2)</f>
        <v>0</v>
      </c>
      <c r="G6" s="123">
        <f t="shared" si="0"/>
        <v>0</v>
      </c>
      <c r="H6" s="183"/>
      <c r="I6" s="187">
        <f>IF(B6=1,0,0.173*F5)</f>
        <v>2808.5788799999996</v>
      </c>
      <c r="J6" s="92"/>
      <c r="K6" s="92"/>
      <c r="L6" s="92"/>
      <c r="M6" s="92"/>
      <c r="N6" s="92"/>
      <c r="O6" s="92"/>
      <c r="P6" s="88"/>
      <c r="Q6" s="88"/>
      <c r="R6" s="88"/>
      <c r="S6" s="88"/>
      <c r="T6" s="88"/>
      <c r="U6" s="88"/>
    </row>
    <row r="7" spans="1:21">
      <c r="A7" s="111" t="s">
        <v>134</v>
      </c>
      <c r="B7" s="95"/>
      <c r="C7" s="95"/>
      <c r="D7" s="94">
        <f>(DATABANK!B45-DATABANK!B42)</f>
        <v>24767</v>
      </c>
      <c r="E7" s="133" t="s">
        <v>67</v>
      </c>
      <c r="F7" s="124">
        <f>ROUND(E$3/100*D7,2)</f>
        <v>24767</v>
      </c>
      <c r="G7" s="124">
        <f t="shared" si="0"/>
        <v>2063.92</v>
      </c>
      <c r="H7" s="183"/>
      <c r="I7" s="187"/>
      <c r="J7" s="92"/>
      <c r="K7" s="92"/>
      <c r="L7" s="92"/>
      <c r="M7" s="92"/>
      <c r="N7" s="92"/>
      <c r="O7" s="92"/>
      <c r="P7" s="88"/>
      <c r="Q7" s="88"/>
      <c r="R7" s="88"/>
      <c r="S7" s="88"/>
      <c r="T7" s="88"/>
      <c r="U7" s="88"/>
    </row>
    <row r="8" spans="1:21">
      <c r="A8" s="111" t="s">
        <v>135</v>
      </c>
      <c r="B8" s="95"/>
      <c r="C8" s="95"/>
      <c r="D8" s="94">
        <f>(DATABANK!B46-DATABANK!B45)</f>
        <v>8715</v>
      </c>
      <c r="E8" s="133" t="s">
        <v>67</v>
      </c>
      <c r="F8" s="124">
        <f>ROUND(E$3/100*D8,2)</f>
        <v>8715</v>
      </c>
      <c r="G8" s="124">
        <f t="shared" si="0"/>
        <v>726.25</v>
      </c>
      <c r="H8" s="183"/>
      <c r="I8" s="187">
        <f t="shared" ref="I8:I14" si="1">0.173*F8</f>
        <v>1507.6949999999999</v>
      </c>
      <c r="J8" s="92"/>
      <c r="K8" s="92"/>
      <c r="L8" s="92"/>
      <c r="M8" s="92"/>
      <c r="N8" s="92"/>
      <c r="O8" s="92"/>
      <c r="P8" s="88"/>
      <c r="Q8" s="88"/>
      <c r="R8" s="88"/>
      <c r="S8" s="88"/>
      <c r="T8" s="88"/>
      <c r="U8" s="88"/>
    </row>
    <row r="9" spans="1:21" ht="15.75" thickBot="1">
      <c r="A9" s="111" t="s">
        <v>123</v>
      </c>
      <c r="B9" s="112"/>
      <c r="C9" s="113"/>
      <c r="D9" s="114">
        <f>IF(B24+B25&gt;0,DATABANK!C63,DATABANK!C62)</f>
        <v>8792.89</v>
      </c>
      <c r="E9" s="96" t="s">
        <v>68</v>
      </c>
      <c r="F9" s="126">
        <f>D9</f>
        <v>8792.89</v>
      </c>
      <c r="G9" s="126">
        <f t="shared" si="0"/>
        <v>732.74</v>
      </c>
      <c r="H9" s="184"/>
      <c r="I9" s="187">
        <f t="shared" si="1"/>
        <v>1521.1699699999997</v>
      </c>
      <c r="J9" s="92"/>
      <c r="K9" s="92"/>
      <c r="L9" s="92"/>
      <c r="M9" s="92"/>
      <c r="N9" s="92"/>
      <c r="O9" s="92"/>
    </row>
    <row r="10" spans="1:21" ht="15.75" thickBot="1">
      <c r="A10" s="111" t="s">
        <v>163</v>
      </c>
      <c r="B10" s="153"/>
      <c r="C10" s="95" t="s">
        <v>23</v>
      </c>
      <c r="D10" s="114">
        <f>DATABANK!C65</f>
        <v>8991.4500000000007</v>
      </c>
      <c r="E10" s="96" t="s">
        <v>68</v>
      </c>
      <c r="F10" s="126">
        <f>D10*B10</f>
        <v>0</v>
      </c>
      <c r="G10" s="126">
        <f t="shared" si="0"/>
        <v>0</v>
      </c>
      <c r="H10" s="184"/>
      <c r="I10" s="187">
        <f t="shared" si="1"/>
        <v>0</v>
      </c>
      <c r="J10" s="92"/>
      <c r="K10" s="92"/>
      <c r="L10" s="92"/>
      <c r="M10" s="92"/>
      <c r="N10" s="92"/>
      <c r="O10" s="92"/>
    </row>
    <row r="11" spans="1:21" ht="15.75" thickBot="1">
      <c r="A11" s="111" t="s">
        <v>162</v>
      </c>
      <c r="B11" s="154"/>
      <c r="C11" s="95" t="s">
        <v>23</v>
      </c>
      <c r="D11" s="114">
        <f>DATABANK!C66</f>
        <v>6993.35</v>
      </c>
      <c r="E11" s="96" t="s">
        <v>68</v>
      </c>
      <c r="F11" s="126">
        <f>D11*B11</f>
        <v>0</v>
      </c>
      <c r="G11" s="126">
        <f t="shared" si="0"/>
        <v>0</v>
      </c>
      <c r="H11" s="171"/>
      <c r="I11" s="187">
        <f t="shared" si="1"/>
        <v>0</v>
      </c>
      <c r="J11" s="92"/>
      <c r="K11" s="92"/>
      <c r="L11" s="92"/>
      <c r="M11" s="92"/>
      <c r="N11" s="92"/>
      <c r="O11" s="92"/>
    </row>
    <row r="12" spans="1:21" ht="15.75" thickBot="1">
      <c r="A12" s="111" t="s">
        <v>118</v>
      </c>
      <c r="B12" s="154"/>
      <c r="C12" s="95" t="s">
        <v>23</v>
      </c>
      <c r="D12" s="94">
        <f>DATABANK!C67</f>
        <v>32968.639999999999</v>
      </c>
      <c r="E12" s="96" t="s">
        <v>67</v>
      </c>
      <c r="F12" s="126">
        <f>D12*B12</f>
        <v>0</v>
      </c>
      <c r="G12" s="126">
        <f t="shared" si="0"/>
        <v>0</v>
      </c>
      <c r="H12" s="184"/>
      <c r="I12" s="187">
        <f t="shared" si="1"/>
        <v>0</v>
      </c>
      <c r="J12" s="92"/>
      <c r="K12" s="92"/>
      <c r="L12" s="92"/>
      <c r="M12" s="92"/>
      <c r="N12" s="92"/>
      <c r="O12" s="92"/>
    </row>
    <row r="13" spans="1:21" ht="15.75" thickBot="1">
      <c r="A13" s="111" t="s">
        <v>119</v>
      </c>
      <c r="B13" s="115"/>
      <c r="C13" s="113" t="s">
        <v>22</v>
      </c>
      <c r="D13" s="114">
        <f>DATABANK!C68</f>
        <v>53.7</v>
      </c>
      <c r="E13" s="116" t="s">
        <v>29</v>
      </c>
      <c r="F13" s="126">
        <f>B13*D13</f>
        <v>0</v>
      </c>
      <c r="G13" s="126">
        <f t="shared" si="0"/>
        <v>0</v>
      </c>
      <c r="H13" s="184"/>
      <c r="I13" s="187">
        <f t="shared" si="1"/>
        <v>0</v>
      </c>
      <c r="J13" s="92"/>
      <c r="K13" s="92"/>
      <c r="L13" s="92"/>
      <c r="M13" s="92"/>
      <c r="N13" s="92"/>
      <c r="O13" s="92"/>
    </row>
    <row r="14" spans="1:21" ht="15.75" thickBot="1">
      <c r="A14" s="111" t="s">
        <v>165</v>
      </c>
      <c r="B14" s="115"/>
      <c r="C14" s="95" t="s">
        <v>23</v>
      </c>
      <c r="D14" s="114">
        <f>DATABANK!C59</f>
        <v>8741.68</v>
      </c>
      <c r="E14" s="96" t="s">
        <v>68</v>
      </c>
      <c r="F14" s="126">
        <f>B14*D14</f>
        <v>0</v>
      </c>
      <c r="G14" s="126">
        <f t="shared" si="0"/>
        <v>0</v>
      </c>
      <c r="H14" s="184"/>
      <c r="I14" s="187">
        <f t="shared" si="1"/>
        <v>0</v>
      </c>
      <c r="J14" s="92"/>
      <c r="K14" s="92"/>
      <c r="L14" s="92"/>
      <c r="M14" s="92"/>
      <c r="N14" s="92"/>
      <c r="O14" s="92"/>
    </row>
    <row r="15" spans="1:21" ht="15.75" thickBot="1">
      <c r="A15" s="74" t="s">
        <v>12</v>
      </c>
      <c r="B15" s="117"/>
      <c r="C15" s="100" t="s">
        <v>22</v>
      </c>
      <c r="D15" s="118"/>
      <c r="E15" s="102"/>
      <c r="F15" s="127"/>
      <c r="G15" s="127"/>
      <c r="H15" s="203"/>
      <c r="I15" s="188"/>
      <c r="J15" s="181">
        <f>ROUNDDOWN(B15,0)</f>
        <v>0</v>
      </c>
      <c r="K15" s="182">
        <f>J15+(B15-J15)/60*100</f>
        <v>0</v>
      </c>
    </row>
    <row r="16" spans="1:21">
      <c r="A16" s="74" t="s">
        <v>74</v>
      </c>
      <c r="B16" s="119">
        <f>ROUND(MIN($E3/100*299,B15),2)</f>
        <v>299</v>
      </c>
      <c r="C16" s="100" t="s">
        <v>22</v>
      </c>
      <c r="D16" s="101">
        <v>0</v>
      </c>
      <c r="E16" s="99" t="s">
        <v>29</v>
      </c>
      <c r="F16" s="125">
        <v>0</v>
      </c>
      <c r="G16" s="125">
        <f t="shared" si="0"/>
        <v>0</v>
      </c>
      <c r="H16" s="184"/>
      <c r="I16" s="188"/>
    </row>
    <row r="17" spans="1:11">
      <c r="A17" s="74" t="s">
        <v>75</v>
      </c>
      <c r="B17" s="119">
        <f>IF(B15&gt;749.999,451,ROUNDUP(MAX(MIN(2*($K15-B16-B18),2*E3/100*451),0),0)/2)</f>
        <v>0</v>
      </c>
      <c r="C17" s="100" t="s">
        <v>22</v>
      </c>
      <c r="D17" s="101">
        <f>IF(B24=1,0,DATABANK!C77)</f>
        <v>12.44</v>
      </c>
      <c r="E17" s="99" t="s">
        <v>29</v>
      </c>
      <c r="F17" s="125">
        <f>ROUND(B17*D17,2)</f>
        <v>0</v>
      </c>
      <c r="G17" s="125">
        <f t="shared" si="0"/>
        <v>0</v>
      </c>
      <c r="H17" s="184"/>
      <c r="I17" s="188"/>
    </row>
    <row r="18" spans="1:11">
      <c r="A18" s="74" t="s">
        <v>78</v>
      </c>
      <c r="B18" s="119">
        <f>ROUNDUP(2*MAX($K15-$E3/100*750,0),0)/2</f>
        <v>0</v>
      </c>
      <c r="C18" s="100" t="s">
        <v>22</v>
      </c>
      <c r="D18" s="101">
        <f>IF(B24=1,0,DATABANK!C78)</f>
        <v>104.96</v>
      </c>
      <c r="E18" s="99" t="s">
        <v>29</v>
      </c>
      <c r="F18" s="125">
        <f>ROUND(B18*D18,2)</f>
        <v>0</v>
      </c>
      <c r="G18" s="125">
        <f t="shared" si="0"/>
        <v>0</v>
      </c>
      <c r="H18" s="184"/>
      <c r="I18" s="188"/>
    </row>
    <row r="19" spans="1:11" ht="15.75" thickBot="1">
      <c r="A19" s="97" t="s">
        <v>116</v>
      </c>
      <c r="B19" s="119">
        <f>B24*ROUNDUP(2*MAX((K15-681),0),0)/2</f>
        <v>0</v>
      </c>
      <c r="C19" s="100" t="s">
        <v>22</v>
      </c>
      <c r="D19" s="101">
        <f>DATABANK!C80</f>
        <v>124.88</v>
      </c>
      <c r="E19" s="99" t="s">
        <v>29</v>
      </c>
      <c r="F19" s="125">
        <f>ROUND(B19*D19,2)</f>
        <v>0</v>
      </c>
      <c r="G19" s="125">
        <f t="shared" si="0"/>
        <v>0</v>
      </c>
      <c r="H19" s="184"/>
      <c r="I19" s="188"/>
    </row>
    <row r="20" spans="1:11" ht="15.75" thickBot="1">
      <c r="A20" s="74" t="s">
        <v>117</v>
      </c>
      <c r="B20" s="117"/>
      <c r="C20" s="100" t="s">
        <v>22</v>
      </c>
      <c r="D20" s="101">
        <f>IF(B24=1,0,DATABANK!C$81)</f>
        <v>9.0500000000000007</v>
      </c>
      <c r="E20" s="99" t="s">
        <v>29</v>
      </c>
      <c r="F20" s="125">
        <f>ROUND(K20*D20,2)</f>
        <v>0</v>
      </c>
      <c r="G20" s="125">
        <f t="shared" si="0"/>
        <v>0</v>
      </c>
      <c r="H20" s="184"/>
      <c r="I20" s="189"/>
      <c r="J20" s="181">
        <f>ROUNDDOWN(B20,0)</f>
        <v>0</v>
      </c>
      <c r="K20" s="182">
        <f>J20+(B20-J20)/60*100</f>
        <v>0</v>
      </c>
    </row>
    <row r="21" spans="1:11" ht="15.75" thickBot="1">
      <c r="A21" s="97" t="s">
        <v>93</v>
      </c>
      <c r="B21" s="120"/>
      <c r="C21" s="100" t="s">
        <v>22</v>
      </c>
      <c r="D21" s="101">
        <f>DATABANK!C85</f>
        <v>40.5</v>
      </c>
      <c r="E21" s="99" t="s">
        <v>29</v>
      </c>
      <c r="F21" s="125">
        <f t="shared" ref="F21:F27" si="2">ROUND(B21*D21,2)</f>
        <v>0</v>
      </c>
      <c r="G21" s="125">
        <f t="shared" si="0"/>
        <v>0</v>
      </c>
      <c r="H21" s="184"/>
      <c r="I21" s="188"/>
    </row>
    <row r="22" spans="1:11" ht="15.75" thickBot="1">
      <c r="A22" s="97" t="s">
        <v>96</v>
      </c>
      <c r="B22" s="120"/>
      <c r="C22" s="100" t="s">
        <v>22</v>
      </c>
      <c r="D22" s="101">
        <f>DATABANK!C86</f>
        <v>18.73</v>
      </c>
      <c r="E22" s="99" t="s">
        <v>29</v>
      </c>
      <c r="F22" s="125">
        <f t="shared" si="2"/>
        <v>0</v>
      </c>
      <c r="G22" s="125">
        <f t="shared" si="0"/>
        <v>0</v>
      </c>
      <c r="H22" s="184"/>
      <c r="I22" s="188"/>
    </row>
    <row r="23" spans="1:11" ht="15.75" thickBot="1">
      <c r="A23" s="97" t="s">
        <v>98</v>
      </c>
      <c r="B23" s="120"/>
      <c r="C23" s="100" t="s">
        <v>22</v>
      </c>
      <c r="D23" s="101">
        <f>DATABANK!C87</f>
        <v>32.270000000000003</v>
      </c>
      <c r="E23" s="99" t="s">
        <v>29</v>
      </c>
      <c r="F23" s="125">
        <f t="shared" si="2"/>
        <v>0</v>
      </c>
      <c r="G23" s="125">
        <f t="shared" si="0"/>
        <v>0</v>
      </c>
      <c r="H23" s="184"/>
      <c r="I23" s="188"/>
    </row>
    <row r="24" spans="1:11" ht="15.75" thickBot="1">
      <c r="A24" s="97" t="s">
        <v>158</v>
      </c>
      <c r="B24" s="151"/>
      <c r="C24" s="104" t="s">
        <v>23</v>
      </c>
      <c r="D24" s="101">
        <f>DATABANK!C72</f>
        <v>35341.379999999997</v>
      </c>
      <c r="E24" s="102" t="s">
        <v>67</v>
      </c>
      <c r="F24" s="125">
        <f>E3/100*ROUND(B24*D24,2)</f>
        <v>0</v>
      </c>
      <c r="G24" s="125">
        <f t="shared" si="0"/>
        <v>0</v>
      </c>
      <c r="H24" s="184"/>
      <c r="I24" s="188"/>
    </row>
    <row r="25" spans="1:11" ht="15.75" thickBot="1">
      <c r="A25" s="97" t="s">
        <v>164</v>
      </c>
      <c r="B25" s="151"/>
      <c r="C25" s="104" t="s">
        <v>23</v>
      </c>
      <c r="D25" s="101">
        <f>DATABANK!C93</f>
        <v>23227.9</v>
      </c>
      <c r="E25" s="102" t="s">
        <v>67</v>
      </c>
      <c r="F25" s="125">
        <f>E3/100*ROUND(B25*D25,2)</f>
        <v>0</v>
      </c>
      <c r="G25" s="125">
        <f t="shared" si="0"/>
        <v>0</v>
      </c>
      <c r="H25" s="184"/>
      <c r="I25" s="188"/>
    </row>
    <row r="26" spans="1:11" ht="15.75" thickBot="1">
      <c r="A26" s="97" t="s">
        <v>112</v>
      </c>
      <c r="B26" s="152">
        <f>B15*B25</f>
        <v>0</v>
      </c>
      <c r="C26" s="100" t="s">
        <v>22</v>
      </c>
      <c r="D26" s="101">
        <f>DATABANK!C84</f>
        <v>23.63</v>
      </c>
      <c r="E26" s="99" t="s">
        <v>29</v>
      </c>
      <c r="F26" s="125">
        <f t="shared" si="2"/>
        <v>0</v>
      </c>
      <c r="G26" s="125">
        <f t="shared" si="0"/>
        <v>0</v>
      </c>
      <c r="H26" s="184"/>
      <c r="I26" s="188"/>
    </row>
    <row r="27" spans="1:11" ht="15.75" thickBot="1">
      <c r="A27" s="74" t="s">
        <v>120</v>
      </c>
      <c r="B27" s="151"/>
      <c r="C27" s="104" t="s">
        <v>23</v>
      </c>
      <c r="D27" s="101">
        <f>DATABANK!C$94</f>
        <v>12488.12</v>
      </c>
      <c r="E27" s="99" t="s">
        <v>106</v>
      </c>
      <c r="F27" s="125">
        <f t="shared" si="2"/>
        <v>0</v>
      </c>
      <c r="G27" s="125">
        <f t="shared" si="0"/>
        <v>0</v>
      </c>
      <c r="H27" s="184"/>
      <c r="I27" s="188"/>
    </row>
    <row r="28" spans="1:11" ht="16.5" thickBot="1">
      <c r="A28" s="163" t="s">
        <v>8</v>
      </c>
      <c r="B28" s="164"/>
      <c r="C28" s="129"/>
      <c r="D28" s="130"/>
      <c r="E28" s="131"/>
      <c r="F28" s="165">
        <f>SUM(F4:F27)</f>
        <v>419938.45</v>
      </c>
      <c r="G28" s="165">
        <f t="shared" si="0"/>
        <v>34994.870000000003</v>
      </c>
      <c r="H28" s="185">
        <f>SUM(H4:H27)</f>
        <v>0</v>
      </c>
      <c r="I28" s="191">
        <f>SUM(I4:I27)</f>
        <v>5837.4438499999997</v>
      </c>
    </row>
    <row r="29" spans="1:11" ht="16.5" thickBot="1">
      <c r="A29" s="138" t="s">
        <v>138</v>
      </c>
      <c r="B29" s="159"/>
      <c r="C29" s="160"/>
      <c r="D29" s="161"/>
      <c r="E29" s="162"/>
      <c r="F29" s="205"/>
      <c r="G29" s="167">
        <f>H28-G28</f>
        <v>-34994.870000000003</v>
      </c>
      <c r="I29" s="192">
        <f>I28/12</f>
        <v>486.45365416666664</v>
      </c>
    </row>
    <row r="30" spans="1:11" ht="15.75" thickBot="1">
      <c r="A30" s="169" t="s">
        <v>139</v>
      </c>
      <c r="B30" s="68"/>
      <c r="C30" s="61"/>
      <c r="D30" s="62"/>
      <c r="E30" s="63"/>
      <c r="I30" s="193" t="s">
        <v>150</v>
      </c>
    </row>
    <row r="31" spans="1:11" ht="15" customHeight="1">
      <c r="A31" s="289"/>
      <c r="B31" s="290"/>
      <c r="C31" s="290"/>
      <c r="D31" s="290"/>
      <c r="E31" s="290"/>
      <c r="F31" s="290"/>
      <c r="G31" s="290"/>
      <c r="H31" s="291"/>
    </row>
    <row r="32" spans="1:11">
      <c r="A32" s="292"/>
      <c r="B32" s="293"/>
      <c r="C32" s="293"/>
      <c r="D32" s="293"/>
      <c r="E32" s="293"/>
      <c r="F32" s="293"/>
      <c r="G32" s="293"/>
      <c r="H32" s="294"/>
    </row>
    <row r="33" spans="1:8">
      <c r="A33" s="292"/>
      <c r="B33" s="293"/>
      <c r="C33" s="293"/>
      <c r="D33" s="293"/>
      <c r="E33" s="293"/>
      <c r="F33" s="293"/>
      <c r="G33" s="293"/>
      <c r="H33" s="294"/>
    </row>
    <row r="34" spans="1:8">
      <c r="A34" s="292"/>
      <c r="B34" s="293"/>
      <c r="C34" s="293"/>
      <c r="D34" s="293"/>
      <c r="E34" s="293"/>
      <c r="F34" s="293"/>
      <c r="G34" s="293"/>
      <c r="H34" s="294"/>
    </row>
    <row r="35" spans="1:8">
      <c r="A35" s="292"/>
      <c r="B35" s="293"/>
      <c r="C35" s="293"/>
      <c r="D35" s="293"/>
      <c r="E35" s="293"/>
      <c r="F35" s="293"/>
      <c r="G35" s="293"/>
      <c r="H35" s="294"/>
    </row>
    <row r="36" spans="1:8">
      <c r="A36" s="295"/>
      <c r="B36" s="296"/>
      <c r="C36" s="296"/>
      <c r="D36" s="296"/>
      <c r="E36" s="296"/>
      <c r="F36" s="296"/>
      <c r="G36" s="296"/>
      <c r="H36" s="297"/>
    </row>
    <row r="37" spans="1:8">
      <c r="A37" s="74" t="s">
        <v>151</v>
      </c>
      <c r="B37" s="168"/>
    </row>
  </sheetData>
  <mergeCells count="6">
    <mergeCell ref="I2:I3"/>
    <mergeCell ref="A31:H36"/>
    <mergeCell ref="F1:G1"/>
    <mergeCell ref="F2:G2"/>
    <mergeCell ref="B1:E1"/>
    <mergeCell ref="H2:H3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G28 F20" formula="1"/>
    <ignoredError sqref="E3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H5"/>
  <sheetViews>
    <sheetView workbookViewId="0">
      <selection sqref="A1:H1"/>
    </sheetView>
  </sheetViews>
  <sheetFormatPr defaultRowHeight="15"/>
  <sheetData>
    <row r="1" spans="1:8" ht="15.75">
      <c r="A1" s="307" t="s">
        <v>49</v>
      </c>
      <c r="B1" s="308"/>
      <c r="C1" s="308"/>
      <c r="D1" s="308"/>
      <c r="E1" s="308"/>
      <c r="F1" s="308"/>
      <c r="G1" s="308"/>
      <c r="H1" s="309"/>
    </row>
    <row r="2" spans="1:8">
      <c r="F2" s="56" t="s">
        <v>55</v>
      </c>
      <c r="G2" s="56" t="s">
        <v>56</v>
      </c>
      <c r="H2" s="56" t="s">
        <v>2</v>
      </c>
    </row>
    <row r="3" spans="1:8" ht="15.75">
      <c r="A3" s="52" t="s">
        <v>50</v>
      </c>
      <c r="B3" s="53"/>
      <c r="C3" s="53"/>
      <c r="D3" s="53"/>
      <c r="E3" s="53"/>
      <c r="F3" s="54">
        <f>DATABANK!C101</f>
        <v>242.86</v>
      </c>
      <c r="G3" s="54">
        <f>DATABANK!C104</f>
        <v>7.49</v>
      </c>
      <c r="H3" s="55">
        <f>SUM(F3:G3)</f>
        <v>250.35000000000002</v>
      </c>
    </row>
    <row r="4" spans="1:8" ht="15.75">
      <c r="A4" s="52" t="s">
        <v>51</v>
      </c>
      <c r="B4" s="53"/>
      <c r="C4" s="53"/>
      <c r="D4" s="53"/>
      <c r="E4" s="53"/>
      <c r="F4" s="54">
        <f>DATABANK!C102</f>
        <v>231.53</v>
      </c>
      <c r="G4" s="54">
        <f>DATABANK!C104</f>
        <v>7.49</v>
      </c>
      <c r="H4" s="69">
        <f>SUM(F4:G4)</f>
        <v>239.02</v>
      </c>
    </row>
    <row r="5" spans="1:8" ht="15.75">
      <c r="A5" s="52" t="s">
        <v>52</v>
      </c>
      <c r="B5" s="53"/>
      <c r="C5" s="53"/>
      <c r="D5" s="53"/>
      <c r="E5" s="53"/>
      <c r="F5" s="54">
        <f>DATABANK!C103</f>
        <v>195.49</v>
      </c>
      <c r="G5" s="54">
        <f>DATABANK!C105</f>
        <v>3.75</v>
      </c>
      <c r="H5" s="55">
        <f>SUM(F5:G5)</f>
        <v>199.24</v>
      </c>
    </row>
  </sheetData>
  <mergeCells count="1">
    <mergeCell ref="A1:H1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39"/>
  <sheetViews>
    <sheetView workbookViewId="0">
      <selection activeCell="G3" sqref="G3"/>
    </sheetView>
  </sheetViews>
  <sheetFormatPr defaultRowHeight="15"/>
  <sheetData>
    <row r="1" spans="1:8" ht="15.75">
      <c r="A1" s="307" t="s">
        <v>61</v>
      </c>
      <c r="B1" s="308"/>
      <c r="C1" s="308"/>
      <c r="D1" s="308"/>
      <c r="E1" s="308"/>
      <c r="F1" s="308"/>
      <c r="G1" s="308"/>
      <c r="H1" s="309"/>
    </row>
    <row r="2" spans="1:8">
      <c r="F2" s="56" t="s">
        <v>64</v>
      </c>
      <c r="G2" s="56" t="s">
        <v>31</v>
      </c>
      <c r="H2" s="56" t="s">
        <v>65</v>
      </c>
    </row>
    <row r="3" spans="1:8">
      <c r="A3" s="52" t="s">
        <v>63</v>
      </c>
      <c r="B3" s="53"/>
      <c r="C3" s="53"/>
      <c r="D3" s="53"/>
      <c r="E3" s="53"/>
      <c r="F3" s="60"/>
      <c r="G3" s="54">
        <f>DATABANK!C82</f>
        <v>158.54</v>
      </c>
      <c r="H3" s="58">
        <f>F3*G3</f>
        <v>0</v>
      </c>
    </row>
    <row r="4" spans="1:8">
      <c r="A4" s="52" t="s">
        <v>62</v>
      </c>
      <c r="B4" s="53"/>
      <c r="C4" s="53"/>
      <c r="D4" s="53"/>
      <c r="E4" s="53"/>
      <c r="F4" s="60"/>
      <c r="G4" s="54">
        <f>DATABANK!C83</f>
        <v>360.59</v>
      </c>
      <c r="H4" s="58">
        <f>F4*G4</f>
        <v>0</v>
      </c>
    </row>
    <row r="5" spans="1:8" ht="15.75">
      <c r="A5" s="52" t="s">
        <v>8</v>
      </c>
      <c r="B5" s="53"/>
      <c r="C5" s="53"/>
      <c r="D5" s="53"/>
      <c r="E5" s="53"/>
      <c r="F5" s="59">
        <f>SUM(F3:F4)</f>
        <v>0</v>
      </c>
      <c r="G5" s="54"/>
      <c r="H5" s="57">
        <f>SUM(H3:H4)</f>
        <v>0</v>
      </c>
    </row>
    <row r="7" spans="1:8">
      <c r="A7" t="s">
        <v>66</v>
      </c>
      <c r="B7" s="51" t="str">
        <f>DATABANK!B20</f>
        <v>1.4.2010</v>
      </c>
    </row>
    <row r="8" spans="1:8" ht="15.75" thickBot="1"/>
    <row r="9" spans="1:8">
      <c r="A9" s="310" t="s">
        <v>32</v>
      </c>
      <c r="B9" s="311"/>
      <c r="C9" s="311"/>
      <c r="D9" s="311"/>
      <c r="E9" s="311"/>
      <c r="F9" s="312"/>
    </row>
    <row r="10" spans="1:8">
      <c r="A10" s="25"/>
      <c r="B10" s="22"/>
      <c r="C10" s="22"/>
      <c r="D10" s="22"/>
      <c r="E10" s="22"/>
      <c r="F10" s="24"/>
    </row>
    <row r="11" spans="1:8">
      <c r="A11" s="25" t="s">
        <v>33</v>
      </c>
      <c r="B11" s="39"/>
      <c r="C11" s="22"/>
      <c r="D11" s="22"/>
      <c r="E11" s="22"/>
      <c r="F11" s="24"/>
    </row>
    <row r="12" spans="1:8">
      <c r="A12" s="25" t="s">
        <v>34</v>
      </c>
      <c r="B12" s="39"/>
      <c r="C12" s="22"/>
      <c r="D12" s="22"/>
      <c r="E12" s="22"/>
      <c r="F12" s="24"/>
    </row>
    <row r="13" spans="1:8">
      <c r="A13" s="25"/>
      <c r="B13" s="22"/>
      <c r="C13" s="22" t="s">
        <v>35</v>
      </c>
      <c r="D13" s="21" t="s">
        <v>36</v>
      </c>
      <c r="E13" s="21" t="s">
        <v>2</v>
      </c>
      <c r="F13" s="24"/>
    </row>
    <row r="14" spans="1:8">
      <c r="A14" s="25" t="s">
        <v>37</v>
      </c>
      <c r="B14" s="22"/>
      <c r="C14" s="39"/>
      <c r="D14" s="21">
        <f>IF(C14&gt;0,(ROUNDUP((C14+0.5)*14/24,0)),0)</f>
        <v>0</v>
      </c>
      <c r="E14" s="21"/>
      <c r="F14" s="24"/>
    </row>
    <row r="15" spans="1:8">
      <c r="A15" s="25" t="s">
        <v>38</v>
      </c>
      <c r="B15" s="22"/>
      <c r="C15" s="39"/>
      <c r="D15" s="21">
        <f>C15*14</f>
        <v>0</v>
      </c>
      <c r="E15" s="21"/>
      <c r="F15" s="24"/>
    </row>
    <row r="16" spans="1:8">
      <c r="A16" s="25" t="s">
        <v>39</v>
      </c>
      <c r="B16" s="22"/>
      <c r="C16" s="39"/>
      <c r="D16" s="21">
        <f>IF(C16&gt;0,(ROUNDUP((C16+7)*14/24,0)),0)</f>
        <v>0</v>
      </c>
      <c r="E16" s="21">
        <f>SUM(D14:D16)</f>
        <v>0</v>
      </c>
      <c r="F16" s="40">
        <f>B12</f>
        <v>0</v>
      </c>
    </row>
    <row r="17" spans="1:6">
      <c r="A17" s="25" t="s">
        <v>40</v>
      </c>
      <c r="B17" s="22"/>
      <c r="C17" s="39"/>
      <c r="D17" s="21"/>
      <c r="E17" s="21"/>
      <c r="F17" s="40"/>
    </row>
    <row r="18" spans="1:6">
      <c r="A18" s="25" t="s">
        <v>41</v>
      </c>
      <c r="B18" s="22"/>
      <c r="C18" s="39"/>
      <c r="D18" s="21"/>
      <c r="E18" s="21"/>
      <c r="F18" s="40"/>
    </row>
    <row r="19" spans="1:6">
      <c r="A19" s="25"/>
      <c r="B19" s="22"/>
      <c r="C19" s="22"/>
      <c r="D19" s="21"/>
      <c r="E19" s="21"/>
      <c r="F19" s="40"/>
    </row>
    <row r="20" spans="1:6">
      <c r="A20" s="25" t="s">
        <v>42</v>
      </c>
      <c r="B20" s="22"/>
      <c r="C20" s="39"/>
      <c r="D20" s="21"/>
      <c r="E20" s="21"/>
      <c r="F20" s="40">
        <f>C20*E16</f>
        <v>0</v>
      </c>
    </row>
    <row r="21" spans="1:6">
      <c r="A21" s="25"/>
      <c r="B21" s="22"/>
      <c r="C21" s="22"/>
      <c r="D21" s="21"/>
      <c r="E21" s="21"/>
      <c r="F21" s="40"/>
    </row>
    <row r="22" spans="1:6">
      <c r="A22" s="41"/>
      <c r="B22" s="19"/>
      <c r="C22" s="19"/>
      <c r="D22" s="20"/>
      <c r="E22" s="20"/>
      <c r="F22" s="42"/>
    </row>
    <row r="23" spans="1:6">
      <c r="A23" s="25"/>
      <c r="B23" s="22"/>
      <c r="C23" s="22"/>
      <c r="D23" s="21"/>
      <c r="E23" s="21"/>
      <c r="F23" s="40"/>
    </row>
    <row r="24" spans="1:6">
      <c r="A24" s="25" t="s">
        <v>33</v>
      </c>
      <c r="B24" s="39"/>
      <c r="C24" s="22"/>
      <c r="D24" s="21"/>
      <c r="E24" s="21"/>
      <c r="F24" s="40"/>
    </row>
    <row r="25" spans="1:6">
      <c r="A25" s="25" t="s">
        <v>34</v>
      </c>
      <c r="B25" s="39"/>
      <c r="C25" s="22"/>
      <c r="D25" s="21"/>
      <c r="E25" s="21"/>
      <c r="F25" s="40"/>
    </row>
    <row r="26" spans="1:6">
      <c r="A26" s="25"/>
      <c r="B26" s="22"/>
      <c r="C26" s="22" t="s">
        <v>35</v>
      </c>
      <c r="D26" s="21" t="s">
        <v>36</v>
      </c>
      <c r="E26" s="21" t="s">
        <v>2</v>
      </c>
      <c r="F26" s="40"/>
    </row>
    <row r="27" spans="1:6">
      <c r="A27" s="25" t="s">
        <v>37</v>
      </c>
      <c r="B27" s="22"/>
      <c r="C27" s="39"/>
      <c r="D27" s="21">
        <f>IF(C27&gt;0,(ROUNDUP((C27+0.5)*14/24,0)),0)</f>
        <v>0</v>
      </c>
      <c r="E27" s="21"/>
      <c r="F27" s="40"/>
    </row>
    <row r="28" spans="1:6">
      <c r="A28" s="25" t="s">
        <v>38</v>
      </c>
      <c r="B28" s="22"/>
      <c r="C28" s="39"/>
      <c r="D28" s="21">
        <f>C28*14</f>
        <v>0</v>
      </c>
      <c r="E28" s="21"/>
      <c r="F28" s="40"/>
    </row>
    <row r="29" spans="1:6">
      <c r="A29" s="25" t="s">
        <v>39</v>
      </c>
      <c r="B29" s="22"/>
      <c r="C29" s="39"/>
      <c r="D29" s="21">
        <f>IF(C29&gt;0,(ROUNDUP((C29+7)*14/24,0)),0)</f>
        <v>0</v>
      </c>
      <c r="E29" s="21">
        <f>SUM(D27:D29)</f>
        <v>0</v>
      </c>
      <c r="F29" s="40">
        <f>B25</f>
        <v>0</v>
      </c>
    </row>
    <row r="30" spans="1:6">
      <c r="A30" s="25" t="s">
        <v>40</v>
      </c>
      <c r="B30" s="22"/>
      <c r="C30" s="39"/>
      <c r="D30" s="22"/>
      <c r="E30" s="22"/>
      <c r="F30" s="40"/>
    </row>
    <row r="31" spans="1:6">
      <c r="A31" s="25" t="s">
        <v>41</v>
      </c>
      <c r="B31" s="22"/>
      <c r="C31" s="39"/>
      <c r="D31" s="22"/>
      <c r="E31" s="22"/>
      <c r="F31" s="40"/>
    </row>
    <row r="32" spans="1:6">
      <c r="A32" s="25"/>
      <c r="B32" s="22"/>
      <c r="C32" s="22"/>
      <c r="D32" s="22"/>
      <c r="E32" s="22"/>
      <c r="F32" s="40"/>
    </row>
    <row r="33" spans="1:6">
      <c r="A33" s="25" t="s">
        <v>42</v>
      </c>
      <c r="B33" s="22"/>
      <c r="C33" s="39"/>
      <c r="D33" s="22"/>
      <c r="E33" s="22"/>
      <c r="F33" s="40">
        <f>C33*E29</f>
        <v>0</v>
      </c>
    </row>
    <row r="34" spans="1:6">
      <c r="A34" s="25"/>
      <c r="B34" s="22"/>
      <c r="C34" s="22"/>
      <c r="D34" s="22"/>
      <c r="E34" s="22"/>
      <c r="F34" s="24"/>
    </row>
    <row r="35" spans="1:6">
      <c r="A35" s="25"/>
      <c r="B35" s="22"/>
      <c r="C35" s="22"/>
      <c r="D35" s="22"/>
      <c r="E35" s="22"/>
      <c r="F35" s="24"/>
    </row>
    <row r="36" spans="1:6">
      <c r="A36" s="25" t="s">
        <v>45</v>
      </c>
      <c r="B36" s="22"/>
      <c r="C36" s="22"/>
      <c r="D36" s="22"/>
      <c r="E36" s="22"/>
      <c r="F36" s="24"/>
    </row>
    <row r="37" spans="1:6">
      <c r="A37" s="25" t="s">
        <v>46</v>
      </c>
      <c r="B37" s="22"/>
      <c r="C37" s="22"/>
      <c r="D37" s="22"/>
      <c r="E37" s="22"/>
      <c r="F37" s="24"/>
    </row>
    <row r="38" spans="1:6">
      <c r="A38" s="25"/>
      <c r="B38" s="22"/>
      <c r="C38" s="22"/>
      <c r="D38" s="22"/>
      <c r="E38" s="22"/>
      <c r="F38" s="24"/>
    </row>
    <row r="39" spans="1:6" ht="15.75" thickBot="1">
      <c r="A39" s="313"/>
      <c r="B39" s="314"/>
      <c r="C39" s="314"/>
      <c r="D39" s="314"/>
      <c r="E39" s="314"/>
      <c r="F39" s="315"/>
    </row>
  </sheetData>
  <mergeCells count="3">
    <mergeCell ref="A1:H1"/>
    <mergeCell ref="A9:F9"/>
    <mergeCell ref="A39:F39"/>
  </mergeCells>
  <phoneticPr fontId="14" type="noConversion"/>
  <dataValidations count="2">
    <dataValidation allowBlank="1" showInputMessage="1" showErrorMessage="1" promptTitle="Timetal" prompt="Skriv antallet af timer fra midnat til elevernes &quot;afhentningstidspunkt&quot; - programmet tillægger selv 7 timer som aftalt." sqref="C16"/>
    <dataValidation allowBlank="1" showInputMessage="1" showErrorMessage="1" promptTitle="Timetal" prompt="Skriv timerne fra elevernes mødetidspunkt til midnat - programmet tillægger selv ½ time, som der står i aftalen." sqref="C14"/>
  </dataValidation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M82"/>
  <sheetViews>
    <sheetView workbookViewId="0">
      <selection activeCell="G12" sqref="G12:H13"/>
    </sheetView>
  </sheetViews>
  <sheetFormatPr defaultRowHeight="15"/>
  <cols>
    <col min="1" max="1" width="12" bestFit="1" customWidth="1"/>
    <col min="2" max="13" width="6.77734375" customWidth="1"/>
  </cols>
  <sheetData>
    <row r="1" spans="1:13">
      <c r="B1" s="83">
        <v>40756</v>
      </c>
      <c r="C1" s="83">
        <v>40787</v>
      </c>
      <c r="D1" s="83">
        <v>40817</v>
      </c>
      <c r="E1" s="83">
        <v>40848</v>
      </c>
      <c r="F1" s="83">
        <v>40878</v>
      </c>
      <c r="G1" s="83">
        <v>40909</v>
      </c>
      <c r="H1" s="83">
        <v>40940</v>
      </c>
      <c r="I1" s="83">
        <v>40969</v>
      </c>
      <c r="J1" s="83">
        <v>41000</v>
      </c>
      <c r="K1" s="83">
        <v>41030</v>
      </c>
      <c r="L1" s="83">
        <v>41061</v>
      </c>
      <c r="M1" s="83">
        <v>41091</v>
      </c>
    </row>
    <row r="2" spans="1:13">
      <c r="A2" s="84" t="s">
        <v>85</v>
      </c>
      <c r="B2" s="84">
        <v>31</v>
      </c>
      <c r="C2" s="84">
        <v>30</v>
      </c>
      <c r="D2" s="84">
        <v>31</v>
      </c>
      <c r="E2" s="84">
        <v>30</v>
      </c>
      <c r="F2" s="84">
        <v>31</v>
      </c>
      <c r="G2" s="84">
        <v>31</v>
      </c>
      <c r="H2" s="84">
        <v>29</v>
      </c>
      <c r="I2" s="84">
        <v>31</v>
      </c>
      <c r="J2" s="84">
        <v>30</v>
      </c>
      <c r="K2" s="84">
        <v>31</v>
      </c>
      <c r="L2" s="84">
        <v>30</v>
      </c>
      <c r="M2" s="84">
        <v>31</v>
      </c>
    </row>
    <row r="3" spans="1:13">
      <c r="A3" s="84" t="s">
        <v>86</v>
      </c>
      <c r="B3" s="84">
        <v>8</v>
      </c>
      <c r="C3" s="84">
        <v>8</v>
      </c>
      <c r="D3" s="84">
        <v>10</v>
      </c>
      <c r="E3" s="84">
        <v>8</v>
      </c>
      <c r="F3" s="84">
        <v>9</v>
      </c>
      <c r="G3" s="84">
        <v>9</v>
      </c>
      <c r="H3" s="84">
        <v>8</v>
      </c>
      <c r="I3" s="84">
        <v>9</v>
      </c>
      <c r="J3" s="84">
        <v>9</v>
      </c>
      <c r="K3" s="84">
        <v>8</v>
      </c>
      <c r="L3" s="84">
        <v>9</v>
      </c>
      <c r="M3" s="84">
        <v>10</v>
      </c>
    </row>
    <row r="4" spans="1:13">
      <c r="A4" s="84" t="s">
        <v>87</v>
      </c>
      <c r="B4" s="84">
        <v>0</v>
      </c>
      <c r="C4" s="84">
        <v>0</v>
      </c>
      <c r="D4" s="84">
        <v>0</v>
      </c>
      <c r="E4" s="84">
        <v>0</v>
      </c>
      <c r="F4" s="84">
        <v>1</v>
      </c>
      <c r="G4" s="84">
        <v>0</v>
      </c>
      <c r="H4" s="84">
        <v>0</v>
      </c>
      <c r="I4" s="84">
        <v>0</v>
      </c>
      <c r="J4" s="84">
        <v>3</v>
      </c>
      <c r="K4" s="84">
        <v>3</v>
      </c>
      <c r="L4" s="84">
        <v>0</v>
      </c>
      <c r="M4" s="84">
        <v>0</v>
      </c>
    </row>
    <row r="5" spans="1:13">
      <c r="A5" s="84" t="s">
        <v>88</v>
      </c>
      <c r="B5" s="84">
        <f t="shared" ref="B5:M5" si="0">B2-B3-B4-B7</f>
        <v>23</v>
      </c>
      <c r="C5" s="84">
        <f t="shared" si="0"/>
        <v>22</v>
      </c>
      <c r="D5" s="84">
        <f t="shared" si="0"/>
        <v>16</v>
      </c>
      <c r="E5" s="84">
        <f t="shared" si="0"/>
        <v>22</v>
      </c>
      <c r="F5" s="84">
        <f t="shared" si="0"/>
        <v>21</v>
      </c>
      <c r="G5" s="84">
        <f t="shared" si="0"/>
        <v>22</v>
      </c>
      <c r="H5" s="84">
        <f t="shared" si="0"/>
        <v>21</v>
      </c>
      <c r="I5" s="84">
        <f t="shared" si="0"/>
        <v>22</v>
      </c>
      <c r="J5" s="84">
        <f t="shared" si="0"/>
        <v>18</v>
      </c>
      <c r="K5" s="84">
        <f t="shared" si="0"/>
        <v>20</v>
      </c>
      <c r="L5" s="84">
        <f t="shared" si="0"/>
        <v>21</v>
      </c>
      <c r="M5" s="84">
        <f t="shared" si="0"/>
        <v>1</v>
      </c>
    </row>
    <row r="6" spans="1:13">
      <c r="A6" s="84" t="s">
        <v>89</v>
      </c>
      <c r="B6" s="207">
        <v>16</v>
      </c>
      <c r="C6" s="84">
        <v>22</v>
      </c>
      <c r="D6" s="84">
        <v>16</v>
      </c>
      <c r="E6" s="84">
        <v>22</v>
      </c>
      <c r="F6" s="207">
        <v>13</v>
      </c>
      <c r="G6" s="84">
        <v>22</v>
      </c>
      <c r="H6" s="84">
        <v>16</v>
      </c>
      <c r="I6" s="84">
        <v>22</v>
      </c>
      <c r="J6" s="207">
        <v>15</v>
      </c>
      <c r="K6" s="207">
        <v>17</v>
      </c>
      <c r="L6" s="84">
        <v>19</v>
      </c>
      <c r="M6" s="84">
        <v>0</v>
      </c>
    </row>
    <row r="7" spans="1:13">
      <c r="A7" s="84" t="s">
        <v>91</v>
      </c>
      <c r="B7" s="84">
        <v>0</v>
      </c>
      <c r="C7" s="84">
        <v>0</v>
      </c>
      <c r="D7" s="84">
        <v>5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20</v>
      </c>
    </row>
    <row r="8" spans="1:13" ht="15.75" thickBot="1"/>
    <row r="9" spans="1:13">
      <c r="A9" s="84" t="s">
        <v>85</v>
      </c>
      <c r="B9" s="84">
        <f>SUM(B2:M2)</f>
        <v>366</v>
      </c>
      <c r="D9" s="85">
        <v>1924</v>
      </c>
      <c r="E9" s="85">
        <f>D9</f>
        <v>1924</v>
      </c>
    </row>
    <row r="10" spans="1:13">
      <c r="A10" s="84" t="s">
        <v>86</v>
      </c>
      <c r="B10" s="84">
        <f>SUM(B3:M3)</f>
        <v>105</v>
      </c>
      <c r="D10" s="86"/>
      <c r="E10" s="86"/>
    </row>
    <row r="11" spans="1:13">
      <c r="A11" s="84" t="s">
        <v>87</v>
      </c>
      <c r="B11" s="84">
        <f>SUM(B4:M4)</f>
        <v>7</v>
      </c>
      <c r="C11">
        <v>7.4</v>
      </c>
      <c r="D11" s="86">
        <f>B11*C11</f>
        <v>51.800000000000004</v>
      </c>
      <c r="E11" s="86">
        <f>D11</f>
        <v>51.800000000000004</v>
      </c>
    </row>
    <row r="12" spans="1:13">
      <c r="A12" s="84" t="s">
        <v>88</v>
      </c>
      <c r="B12" s="156">
        <f>SUM(B5:M5)-1</f>
        <v>228</v>
      </c>
      <c r="D12" s="86"/>
      <c r="E12" s="86"/>
    </row>
    <row r="13" spans="1:13">
      <c r="A13" s="84" t="s">
        <v>91</v>
      </c>
      <c r="B13" s="84">
        <f>SUM(B7:M7)</f>
        <v>25</v>
      </c>
      <c r="C13">
        <v>7.4</v>
      </c>
      <c r="D13" s="86">
        <f>B13*C13</f>
        <v>185</v>
      </c>
      <c r="E13" s="86">
        <f>D13</f>
        <v>185</v>
      </c>
    </row>
    <row r="14" spans="1:13">
      <c r="A14" s="84" t="s">
        <v>92</v>
      </c>
      <c r="B14" s="84">
        <v>5</v>
      </c>
      <c r="C14">
        <v>6.8</v>
      </c>
      <c r="D14" s="86">
        <f>B14*C14</f>
        <v>34</v>
      </c>
      <c r="E14" s="86"/>
    </row>
    <row r="15" spans="1:13" ht="16.5" thickBot="1">
      <c r="A15" s="84" t="s">
        <v>89</v>
      </c>
      <c r="B15" s="84">
        <f>SUM(B6:M6)</f>
        <v>200</v>
      </c>
      <c r="D15" s="87">
        <f>D9-D11-D13-D14</f>
        <v>1653.2</v>
      </c>
      <c r="E15" s="87">
        <f>E9-E11-E13-E14</f>
        <v>1687.2</v>
      </c>
    </row>
    <row r="17" spans="1:13">
      <c r="B17" s="83">
        <v>40391</v>
      </c>
      <c r="C17" s="83">
        <v>40422</v>
      </c>
      <c r="D17" s="83">
        <v>40452</v>
      </c>
      <c r="E17" s="83">
        <v>40483</v>
      </c>
      <c r="F17" s="83">
        <v>40513</v>
      </c>
      <c r="G17" s="83">
        <v>40544</v>
      </c>
      <c r="H17" s="83">
        <v>40575</v>
      </c>
      <c r="I17" s="83">
        <v>40603</v>
      </c>
      <c r="J17" s="83">
        <v>40634</v>
      </c>
      <c r="K17" s="83">
        <v>40664</v>
      </c>
      <c r="L17" s="83">
        <v>40695</v>
      </c>
      <c r="M17" s="83">
        <v>40725</v>
      </c>
    </row>
    <row r="18" spans="1:13">
      <c r="A18" s="84" t="s">
        <v>85</v>
      </c>
      <c r="B18" s="84">
        <v>31</v>
      </c>
      <c r="C18" s="84">
        <v>30</v>
      </c>
      <c r="D18" s="84">
        <v>31</v>
      </c>
      <c r="E18" s="84">
        <v>30</v>
      </c>
      <c r="F18" s="84">
        <v>31</v>
      </c>
      <c r="G18" s="84">
        <v>31</v>
      </c>
      <c r="H18" s="84">
        <v>28</v>
      </c>
      <c r="I18" s="84">
        <v>31</v>
      </c>
      <c r="J18" s="84">
        <v>30</v>
      </c>
      <c r="K18" s="84">
        <v>31</v>
      </c>
      <c r="L18" s="84">
        <v>30</v>
      </c>
      <c r="M18" s="84">
        <v>31</v>
      </c>
    </row>
    <row r="19" spans="1:13">
      <c r="A19" s="84" t="s">
        <v>86</v>
      </c>
      <c r="B19" s="84">
        <v>9</v>
      </c>
      <c r="C19" s="84">
        <v>8</v>
      </c>
      <c r="D19" s="84">
        <v>10</v>
      </c>
      <c r="E19" s="84">
        <v>8</v>
      </c>
      <c r="F19" s="84">
        <v>8</v>
      </c>
      <c r="G19" s="84">
        <v>10</v>
      </c>
      <c r="H19" s="84">
        <v>8</v>
      </c>
      <c r="I19" s="84">
        <v>8</v>
      </c>
      <c r="J19" s="84">
        <v>9</v>
      </c>
      <c r="K19" s="84">
        <v>9</v>
      </c>
      <c r="L19" s="84">
        <v>8</v>
      </c>
      <c r="M19" s="84">
        <v>10</v>
      </c>
    </row>
    <row r="20" spans="1:13">
      <c r="A20" s="84" t="s">
        <v>87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3</v>
      </c>
      <c r="K20" s="84">
        <v>1</v>
      </c>
      <c r="L20" s="84">
        <v>2</v>
      </c>
      <c r="M20" s="84">
        <v>0</v>
      </c>
    </row>
    <row r="21" spans="1:13">
      <c r="A21" s="84" t="s">
        <v>88</v>
      </c>
      <c r="B21" s="84">
        <f t="shared" ref="B21:M21" si="1">B18-B19-B20-B23</f>
        <v>22</v>
      </c>
      <c r="C21" s="84">
        <f t="shared" si="1"/>
        <v>22</v>
      </c>
      <c r="D21" s="84">
        <f t="shared" si="1"/>
        <v>16</v>
      </c>
      <c r="E21" s="84">
        <f t="shared" si="1"/>
        <v>22</v>
      </c>
      <c r="F21" s="84">
        <f t="shared" si="1"/>
        <v>23</v>
      </c>
      <c r="G21" s="84">
        <f t="shared" si="1"/>
        <v>21</v>
      </c>
      <c r="H21" s="84">
        <f t="shared" si="1"/>
        <v>20</v>
      </c>
      <c r="I21" s="84">
        <f t="shared" si="1"/>
        <v>23</v>
      </c>
      <c r="J21" s="84">
        <f t="shared" si="1"/>
        <v>18</v>
      </c>
      <c r="K21" s="84">
        <f t="shared" si="1"/>
        <v>21</v>
      </c>
      <c r="L21" s="84">
        <f t="shared" si="1"/>
        <v>20</v>
      </c>
      <c r="M21" s="84">
        <f t="shared" si="1"/>
        <v>1</v>
      </c>
    </row>
    <row r="22" spans="1:13">
      <c r="A22" s="84" t="s">
        <v>89</v>
      </c>
      <c r="B22" s="84">
        <v>13</v>
      </c>
      <c r="C22" s="84">
        <v>20</v>
      </c>
      <c r="D22" s="84">
        <v>18</v>
      </c>
      <c r="E22" s="84">
        <v>22</v>
      </c>
      <c r="F22" s="84">
        <v>15</v>
      </c>
      <c r="G22" s="84">
        <v>22</v>
      </c>
      <c r="H22" s="84">
        <v>16</v>
      </c>
      <c r="I22" s="84">
        <v>15</v>
      </c>
      <c r="J22" s="84">
        <v>21</v>
      </c>
      <c r="K22" s="84">
        <v>19</v>
      </c>
      <c r="L22" s="84">
        <v>19</v>
      </c>
      <c r="M22" s="84">
        <v>0</v>
      </c>
    </row>
    <row r="23" spans="1:13">
      <c r="A23" s="84" t="s">
        <v>91</v>
      </c>
      <c r="B23" s="84">
        <v>0</v>
      </c>
      <c r="C23" s="84">
        <v>0</v>
      </c>
      <c r="D23" s="84">
        <v>5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20</v>
      </c>
    </row>
    <row r="24" spans="1:13" ht="15.75" thickBot="1"/>
    <row r="25" spans="1:13">
      <c r="A25" s="84" t="s">
        <v>85</v>
      </c>
      <c r="B25" s="84">
        <f>SUM(B18:M18)</f>
        <v>365</v>
      </c>
      <c r="D25" s="85">
        <v>1924</v>
      </c>
      <c r="E25" s="85">
        <f>D25</f>
        <v>1924</v>
      </c>
    </row>
    <row r="26" spans="1:13">
      <c r="A26" s="84" t="s">
        <v>86</v>
      </c>
      <c r="B26" s="84">
        <f>SUM(B19:M19)</f>
        <v>105</v>
      </c>
      <c r="D26" s="86">
        <f>C27*B27</f>
        <v>44.400000000000006</v>
      </c>
      <c r="E26" s="86">
        <f>D26</f>
        <v>44.400000000000006</v>
      </c>
    </row>
    <row r="27" spans="1:13">
      <c r="A27" s="84" t="s">
        <v>87</v>
      </c>
      <c r="B27" s="84">
        <f>SUM(B20:M20)</f>
        <v>6</v>
      </c>
      <c r="C27">
        <v>7.4</v>
      </c>
      <c r="D27" s="86"/>
      <c r="E27" s="86"/>
    </row>
    <row r="28" spans="1:13">
      <c r="A28" s="84" t="s">
        <v>88</v>
      </c>
      <c r="B28" s="156">
        <f>SUM(B21:M21)-1</f>
        <v>228</v>
      </c>
      <c r="D28" s="86"/>
      <c r="E28" s="86"/>
    </row>
    <row r="29" spans="1:13">
      <c r="A29" s="84" t="s">
        <v>89</v>
      </c>
      <c r="B29" s="84">
        <f>SUM(B22:M22)</f>
        <v>200</v>
      </c>
      <c r="D29" s="86">
        <f>C30*B30</f>
        <v>185</v>
      </c>
      <c r="E29" s="86">
        <f>D29</f>
        <v>185</v>
      </c>
    </row>
    <row r="30" spans="1:13">
      <c r="A30" s="84" t="s">
        <v>91</v>
      </c>
      <c r="B30" s="84">
        <f>SUM(B23:M23)</f>
        <v>25</v>
      </c>
      <c r="C30">
        <f>C27</f>
        <v>7.4</v>
      </c>
      <c r="D30" s="86">
        <f>C31*B31</f>
        <v>37</v>
      </c>
      <c r="E30" s="86"/>
    </row>
    <row r="31" spans="1:13" ht="16.5" thickBot="1">
      <c r="A31" s="84" t="s">
        <v>92</v>
      </c>
      <c r="B31" s="84">
        <v>5</v>
      </c>
      <c r="C31">
        <f>C30</f>
        <v>7.4</v>
      </c>
      <c r="D31" s="87">
        <f>D25-D26-D29-D30</f>
        <v>1657.6</v>
      </c>
      <c r="E31" s="87">
        <f>E25-E26-E29-E30</f>
        <v>1694.6</v>
      </c>
    </row>
    <row r="34" spans="1:13">
      <c r="B34" s="83">
        <v>40026</v>
      </c>
      <c r="C34" s="83">
        <v>40057</v>
      </c>
      <c r="D34" s="83">
        <v>40087</v>
      </c>
      <c r="E34" s="83">
        <v>40118</v>
      </c>
      <c r="F34" s="83">
        <v>40148</v>
      </c>
      <c r="G34" s="83">
        <v>40179</v>
      </c>
      <c r="H34" s="83">
        <v>40210</v>
      </c>
      <c r="I34" s="83">
        <v>40238</v>
      </c>
      <c r="J34" s="83">
        <v>40269</v>
      </c>
      <c r="K34" s="83">
        <v>40299</v>
      </c>
      <c r="L34" s="83">
        <v>40330</v>
      </c>
      <c r="M34" s="83">
        <v>40360</v>
      </c>
    </row>
    <row r="35" spans="1:13">
      <c r="A35" s="84" t="s">
        <v>85</v>
      </c>
      <c r="B35" s="84">
        <v>31</v>
      </c>
      <c r="C35" s="84">
        <v>30</v>
      </c>
      <c r="D35" s="84">
        <v>31</v>
      </c>
      <c r="E35" s="84">
        <v>30</v>
      </c>
      <c r="F35" s="84">
        <v>31</v>
      </c>
      <c r="G35" s="84">
        <v>31</v>
      </c>
      <c r="H35" s="84">
        <v>28</v>
      </c>
      <c r="I35" s="84">
        <v>31</v>
      </c>
      <c r="J35" s="84">
        <v>30</v>
      </c>
      <c r="K35" s="84">
        <v>31</v>
      </c>
      <c r="L35" s="84">
        <v>30</v>
      </c>
      <c r="M35" s="84">
        <v>31</v>
      </c>
    </row>
    <row r="36" spans="1:13">
      <c r="A36" s="84" t="s">
        <v>86</v>
      </c>
      <c r="B36" s="84">
        <v>10</v>
      </c>
      <c r="C36" s="84">
        <v>8</v>
      </c>
      <c r="D36" s="84">
        <v>9</v>
      </c>
      <c r="E36" s="84">
        <v>9</v>
      </c>
      <c r="F36" s="84">
        <v>8</v>
      </c>
      <c r="G36" s="84">
        <v>10</v>
      </c>
      <c r="H36" s="84">
        <v>8</v>
      </c>
      <c r="I36" s="84">
        <v>8</v>
      </c>
      <c r="J36" s="84">
        <v>8</v>
      </c>
      <c r="K36" s="84">
        <v>10</v>
      </c>
      <c r="L36" s="84">
        <v>8</v>
      </c>
      <c r="M36" s="84">
        <v>9</v>
      </c>
    </row>
    <row r="37" spans="1:13">
      <c r="A37" s="84" t="s">
        <v>87</v>
      </c>
      <c r="B37" s="84">
        <v>0</v>
      </c>
      <c r="C37" s="84">
        <v>0</v>
      </c>
      <c r="D37" s="84">
        <v>0</v>
      </c>
      <c r="E37" s="84">
        <v>0</v>
      </c>
      <c r="F37" s="84">
        <v>1</v>
      </c>
      <c r="G37" s="84">
        <v>1</v>
      </c>
      <c r="H37" s="84">
        <v>0</v>
      </c>
      <c r="I37" s="84">
        <v>3</v>
      </c>
      <c r="J37" s="84">
        <v>1</v>
      </c>
      <c r="K37" s="84">
        <v>2</v>
      </c>
      <c r="L37" s="84">
        <v>0</v>
      </c>
      <c r="M37" s="84">
        <v>0</v>
      </c>
    </row>
    <row r="38" spans="1:13">
      <c r="A38" s="84" t="s">
        <v>88</v>
      </c>
      <c r="B38" s="84">
        <f t="shared" ref="B38:M38" si="2">B35-B36-B37-B40</f>
        <v>21</v>
      </c>
      <c r="C38" s="84">
        <f t="shared" si="2"/>
        <v>22</v>
      </c>
      <c r="D38" s="84">
        <f t="shared" si="2"/>
        <v>17</v>
      </c>
      <c r="E38" s="84">
        <f t="shared" si="2"/>
        <v>21</v>
      </c>
      <c r="F38" s="84">
        <f t="shared" si="2"/>
        <v>22</v>
      </c>
      <c r="G38" s="84">
        <f t="shared" si="2"/>
        <v>20</v>
      </c>
      <c r="H38" s="84">
        <f t="shared" si="2"/>
        <v>20</v>
      </c>
      <c r="I38" s="84">
        <f t="shared" si="2"/>
        <v>20</v>
      </c>
      <c r="J38" s="84">
        <f t="shared" si="2"/>
        <v>21</v>
      </c>
      <c r="K38" s="84">
        <f t="shared" si="2"/>
        <v>19</v>
      </c>
      <c r="L38" s="84">
        <f t="shared" si="2"/>
        <v>22</v>
      </c>
      <c r="M38" s="84">
        <f t="shared" si="2"/>
        <v>2</v>
      </c>
    </row>
    <row r="39" spans="1:13">
      <c r="A39" s="84" t="s">
        <v>89</v>
      </c>
      <c r="B39" s="84">
        <v>13</v>
      </c>
      <c r="C39" s="84">
        <v>20</v>
      </c>
      <c r="D39" s="84">
        <v>18</v>
      </c>
      <c r="E39" s="84">
        <v>22</v>
      </c>
      <c r="F39" s="84">
        <v>15</v>
      </c>
      <c r="G39" s="84">
        <v>22</v>
      </c>
      <c r="H39" s="84">
        <v>16</v>
      </c>
      <c r="I39" s="84">
        <v>15</v>
      </c>
      <c r="J39" s="84">
        <v>21</v>
      </c>
      <c r="K39" s="84">
        <v>19</v>
      </c>
      <c r="L39" s="84">
        <v>19</v>
      </c>
      <c r="M39" s="84">
        <v>0</v>
      </c>
    </row>
    <row r="40" spans="1:13">
      <c r="A40" s="84" t="s">
        <v>91</v>
      </c>
      <c r="B40" s="84">
        <v>0</v>
      </c>
      <c r="C40" s="84">
        <v>0</v>
      </c>
      <c r="D40" s="84">
        <v>5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20</v>
      </c>
    </row>
    <row r="41" spans="1:13" ht="15.75" thickBot="1"/>
    <row r="42" spans="1:13">
      <c r="A42" s="84" t="s">
        <v>85</v>
      </c>
      <c r="B42" s="84">
        <f>SUM(B35:M35)</f>
        <v>365</v>
      </c>
      <c r="D42" s="85">
        <v>1924</v>
      </c>
      <c r="E42" s="85">
        <f>D42</f>
        <v>1924</v>
      </c>
    </row>
    <row r="43" spans="1:13">
      <c r="A43" s="84" t="s">
        <v>86</v>
      </c>
      <c r="B43" s="84">
        <f>SUM(B36:M36)</f>
        <v>105</v>
      </c>
      <c r="D43" s="86">
        <f>C44*B44</f>
        <v>59.2</v>
      </c>
      <c r="E43" s="86">
        <f>D43</f>
        <v>59.2</v>
      </c>
    </row>
    <row r="44" spans="1:13">
      <c r="A44" s="84" t="s">
        <v>87</v>
      </c>
      <c r="B44" s="84">
        <f>SUM(B37:M37)</f>
        <v>8</v>
      </c>
      <c r="C44">
        <v>7.4</v>
      </c>
      <c r="D44" s="86"/>
      <c r="E44" s="86"/>
    </row>
    <row r="45" spans="1:13">
      <c r="A45" s="84" t="s">
        <v>88</v>
      </c>
      <c r="B45" s="156">
        <f>SUM(B38:M38)-1</f>
        <v>226</v>
      </c>
      <c r="D45" s="86"/>
      <c r="E45" s="86"/>
    </row>
    <row r="46" spans="1:13">
      <c r="A46" s="84" t="s">
        <v>89</v>
      </c>
      <c r="B46" s="84">
        <f>SUM(B39:M39)</f>
        <v>200</v>
      </c>
      <c r="D46" s="86">
        <f>C47*B47</f>
        <v>185</v>
      </c>
      <c r="E46" s="86">
        <f>D46</f>
        <v>185</v>
      </c>
    </row>
    <row r="47" spans="1:13">
      <c r="A47" s="84" t="s">
        <v>91</v>
      </c>
      <c r="B47" s="84">
        <f>SUM(B40:M40)</f>
        <v>25</v>
      </c>
      <c r="C47">
        <f>C44</f>
        <v>7.4</v>
      </c>
      <c r="D47" s="86">
        <f>C48*B48</f>
        <v>37</v>
      </c>
      <c r="E47" s="86"/>
    </row>
    <row r="48" spans="1:13" ht="16.5" thickBot="1">
      <c r="A48" s="84" t="s">
        <v>92</v>
      </c>
      <c r="B48" s="84">
        <v>5</v>
      </c>
      <c r="C48">
        <f>C47</f>
        <v>7.4</v>
      </c>
      <c r="D48" s="87">
        <f>D42-D43-D46-D47</f>
        <v>1642.8</v>
      </c>
      <c r="E48" s="87">
        <f>E42-E43-E46-E47</f>
        <v>1679.8</v>
      </c>
    </row>
    <row r="50" spans="1:13" ht="15.75">
      <c r="D50" s="157"/>
      <c r="E50" s="157"/>
    </row>
    <row r="51" spans="1:13" ht="15.75">
      <c r="D51" s="157"/>
      <c r="E51" s="157"/>
    </row>
    <row r="53" spans="1:13">
      <c r="B53" s="83">
        <v>39661</v>
      </c>
      <c r="C53" s="83">
        <v>39692</v>
      </c>
      <c r="D53" s="83">
        <v>39722</v>
      </c>
      <c r="E53" s="83">
        <v>39753</v>
      </c>
      <c r="F53" s="83">
        <v>39783</v>
      </c>
      <c r="G53" s="83">
        <v>39814</v>
      </c>
      <c r="H53" s="83">
        <v>39845</v>
      </c>
      <c r="I53" s="83">
        <v>39873</v>
      </c>
      <c r="J53" s="83">
        <v>39904</v>
      </c>
      <c r="K53" s="83">
        <v>39934</v>
      </c>
      <c r="L53" s="83">
        <v>39965</v>
      </c>
      <c r="M53" s="83">
        <v>39995</v>
      </c>
    </row>
    <row r="54" spans="1:13">
      <c r="A54" s="84" t="s">
        <v>85</v>
      </c>
      <c r="B54" s="84">
        <v>31</v>
      </c>
      <c r="C54" s="84">
        <v>30</v>
      </c>
      <c r="D54" s="84">
        <v>31</v>
      </c>
      <c r="E54" s="84">
        <v>30</v>
      </c>
      <c r="F54" s="84">
        <v>31</v>
      </c>
      <c r="G54" s="84">
        <v>31</v>
      </c>
      <c r="H54" s="84">
        <v>28</v>
      </c>
      <c r="I54" s="84">
        <v>31</v>
      </c>
      <c r="J54" s="84">
        <v>30</v>
      </c>
      <c r="K54" s="84">
        <v>31</v>
      </c>
      <c r="L54" s="84">
        <v>30</v>
      </c>
      <c r="M54" s="84">
        <v>31</v>
      </c>
    </row>
    <row r="55" spans="1:13">
      <c r="A55" s="84" t="s">
        <v>86</v>
      </c>
      <c r="B55" s="84">
        <v>10</v>
      </c>
      <c r="C55" s="84">
        <v>8</v>
      </c>
      <c r="D55" s="84">
        <v>8</v>
      </c>
      <c r="E55" s="84">
        <v>10</v>
      </c>
      <c r="F55" s="84">
        <v>8</v>
      </c>
      <c r="G55" s="84">
        <v>9</v>
      </c>
      <c r="H55" s="84">
        <v>8</v>
      </c>
      <c r="I55" s="84">
        <v>9</v>
      </c>
      <c r="J55" s="84">
        <v>8</v>
      </c>
      <c r="K55" s="84">
        <v>10</v>
      </c>
      <c r="L55" s="84">
        <v>8</v>
      </c>
      <c r="M55" s="84">
        <v>8</v>
      </c>
    </row>
    <row r="56" spans="1:13">
      <c r="A56" s="84" t="s">
        <v>87</v>
      </c>
      <c r="B56" s="84">
        <v>0</v>
      </c>
      <c r="C56" s="84">
        <v>0</v>
      </c>
      <c r="D56" s="84">
        <v>0</v>
      </c>
      <c r="E56" s="84">
        <v>0</v>
      </c>
      <c r="F56" s="84">
        <v>2</v>
      </c>
      <c r="G56" s="84">
        <v>1</v>
      </c>
      <c r="H56" s="84">
        <v>0</v>
      </c>
      <c r="I56" s="84">
        <v>0</v>
      </c>
      <c r="J56" s="84">
        <v>3</v>
      </c>
      <c r="K56" s="84">
        <v>2</v>
      </c>
      <c r="L56" s="84">
        <v>1</v>
      </c>
      <c r="M56" s="84">
        <v>0</v>
      </c>
    </row>
    <row r="57" spans="1:13">
      <c r="A57" s="84" t="s">
        <v>88</v>
      </c>
      <c r="B57" s="84">
        <f t="shared" ref="B57:M57" si="3">B54-B55-B56-B59</f>
        <v>21</v>
      </c>
      <c r="C57" s="84">
        <f t="shared" si="3"/>
        <v>22</v>
      </c>
      <c r="D57" s="84">
        <f t="shared" si="3"/>
        <v>20</v>
      </c>
      <c r="E57" s="84">
        <f t="shared" si="3"/>
        <v>20</v>
      </c>
      <c r="F57" s="84">
        <f t="shared" si="3"/>
        <v>21</v>
      </c>
      <c r="G57" s="84">
        <f t="shared" si="3"/>
        <v>21</v>
      </c>
      <c r="H57" s="84">
        <f t="shared" si="3"/>
        <v>20</v>
      </c>
      <c r="I57" s="84">
        <f t="shared" si="3"/>
        <v>22</v>
      </c>
      <c r="J57" s="84">
        <f t="shared" si="3"/>
        <v>19</v>
      </c>
      <c r="K57" s="84">
        <f t="shared" si="3"/>
        <v>19</v>
      </c>
      <c r="L57" s="84">
        <f t="shared" si="3"/>
        <v>21</v>
      </c>
      <c r="M57" s="84">
        <f t="shared" si="3"/>
        <v>3</v>
      </c>
    </row>
    <row r="58" spans="1:13">
      <c r="A58" s="84" t="s">
        <v>89</v>
      </c>
      <c r="B58" s="84">
        <v>13</v>
      </c>
      <c r="C58" s="84">
        <v>20</v>
      </c>
      <c r="D58" s="84">
        <v>18</v>
      </c>
      <c r="E58" s="84">
        <v>22</v>
      </c>
      <c r="F58" s="84">
        <v>15</v>
      </c>
      <c r="G58" s="84">
        <v>22</v>
      </c>
      <c r="H58" s="84">
        <v>16</v>
      </c>
      <c r="I58" s="84">
        <v>15</v>
      </c>
      <c r="J58" s="84">
        <v>21</v>
      </c>
      <c r="K58" s="84">
        <v>19</v>
      </c>
      <c r="L58" s="84">
        <v>19</v>
      </c>
      <c r="M58" s="84">
        <v>0</v>
      </c>
    </row>
    <row r="59" spans="1:13">
      <c r="A59" s="84" t="s">
        <v>91</v>
      </c>
      <c r="B59" s="84">
        <v>0</v>
      </c>
      <c r="C59" s="84">
        <v>0</v>
      </c>
      <c r="D59" s="84">
        <v>3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20</v>
      </c>
    </row>
    <row r="60" spans="1:13" ht="15.75" thickBot="1"/>
    <row r="61" spans="1:13">
      <c r="A61" s="84" t="s">
        <v>85</v>
      </c>
      <c r="B61" s="84">
        <f>SUM(B54:M54)</f>
        <v>365</v>
      </c>
      <c r="D61" s="85">
        <v>1924</v>
      </c>
      <c r="E61" s="85">
        <f>D61</f>
        <v>1924</v>
      </c>
    </row>
    <row r="62" spans="1:13">
      <c r="A62" s="84" t="s">
        <v>86</v>
      </c>
      <c r="B62" s="84">
        <f>SUM(B55:M55)</f>
        <v>104</v>
      </c>
      <c r="D62" s="86">
        <f>C63*B63</f>
        <v>66.600000000000009</v>
      </c>
      <c r="E62" s="86">
        <f>D62</f>
        <v>66.600000000000009</v>
      </c>
    </row>
    <row r="63" spans="1:13">
      <c r="A63" s="84" t="s">
        <v>87</v>
      </c>
      <c r="B63" s="84">
        <f>SUM(B56:M56)</f>
        <v>9</v>
      </c>
      <c r="C63">
        <v>7.4</v>
      </c>
      <c r="D63" s="86"/>
      <c r="E63" s="86"/>
    </row>
    <row r="64" spans="1:13">
      <c r="A64" s="84" t="s">
        <v>88</v>
      </c>
      <c r="B64" s="156">
        <f>SUM(B57:M57)-1</f>
        <v>228</v>
      </c>
      <c r="D64" s="86"/>
      <c r="E64" s="86"/>
    </row>
    <row r="65" spans="1:13">
      <c r="A65" s="84" t="s">
        <v>89</v>
      </c>
      <c r="B65" s="84">
        <f>SUM(B58:M58)</f>
        <v>200</v>
      </c>
      <c r="D65" s="86">
        <f>C66*B66</f>
        <v>170.20000000000002</v>
      </c>
      <c r="E65" s="86">
        <f>D65</f>
        <v>170.20000000000002</v>
      </c>
    </row>
    <row r="66" spans="1:13">
      <c r="A66" s="84" t="s">
        <v>91</v>
      </c>
      <c r="B66" s="84">
        <f>SUM(B59:M59)</f>
        <v>23</v>
      </c>
      <c r="C66">
        <f>C63</f>
        <v>7.4</v>
      </c>
      <c r="D66" s="86">
        <f>C67*B67</f>
        <v>37</v>
      </c>
      <c r="E66" s="86"/>
    </row>
    <row r="67" spans="1:13" ht="16.5" thickBot="1">
      <c r="A67" s="84" t="s">
        <v>92</v>
      </c>
      <c r="B67" s="84">
        <v>5</v>
      </c>
      <c r="C67">
        <f>C66</f>
        <v>7.4</v>
      </c>
      <c r="D67" s="87">
        <f>D61-D62-D65-D66</f>
        <v>1650.2</v>
      </c>
      <c r="E67" s="87">
        <f>E61-E62-E65-E66</f>
        <v>1687.2</v>
      </c>
    </row>
    <row r="71" spans="1:13">
      <c r="B71" s="83">
        <v>39295</v>
      </c>
      <c r="C71" s="83">
        <v>39326</v>
      </c>
      <c r="D71" s="83">
        <v>39356</v>
      </c>
      <c r="E71" s="83">
        <v>39387</v>
      </c>
      <c r="F71" s="83">
        <v>39417</v>
      </c>
      <c r="G71" s="83">
        <v>39448</v>
      </c>
      <c r="H71" s="83">
        <v>39479</v>
      </c>
      <c r="I71" s="83">
        <v>39508</v>
      </c>
      <c r="J71" s="83">
        <v>39539</v>
      </c>
      <c r="K71" s="83">
        <v>39569</v>
      </c>
      <c r="L71" s="83">
        <v>39600</v>
      </c>
      <c r="M71" s="83">
        <v>39630</v>
      </c>
    </row>
    <row r="72" spans="1:13">
      <c r="A72" s="84" t="s">
        <v>85</v>
      </c>
      <c r="B72" s="84">
        <v>31</v>
      </c>
      <c r="C72" s="84">
        <v>30</v>
      </c>
      <c r="D72" s="84">
        <v>31</v>
      </c>
      <c r="E72" s="84">
        <v>30</v>
      </c>
      <c r="F72" s="84">
        <v>31</v>
      </c>
      <c r="G72" s="84">
        <v>31</v>
      </c>
      <c r="H72" s="84">
        <v>29</v>
      </c>
      <c r="I72" s="84">
        <v>31</v>
      </c>
      <c r="J72" s="84">
        <v>30</v>
      </c>
      <c r="K72" s="84">
        <v>31</v>
      </c>
      <c r="L72" s="84">
        <v>30</v>
      </c>
      <c r="M72" s="84">
        <v>31</v>
      </c>
    </row>
    <row r="73" spans="1:13">
      <c r="A73" s="84" t="s">
        <v>86</v>
      </c>
      <c r="B73" s="84">
        <v>8</v>
      </c>
      <c r="C73" s="84">
        <v>10</v>
      </c>
      <c r="D73" s="84">
        <v>8</v>
      </c>
      <c r="E73" s="84">
        <v>8</v>
      </c>
      <c r="F73" s="84">
        <v>10</v>
      </c>
      <c r="G73" s="84">
        <v>8</v>
      </c>
      <c r="H73" s="84">
        <v>8</v>
      </c>
      <c r="I73" s="84">
        <v>10</v>
      </c>
      <c r="J73" s="84">
        <v>8</v>
      </c>
      <c r="K73" s="84">
        <v>9</v>
      </c>
      <c r="L73" s="84">
        <v>9</v>
      </c>
      <c r="M73" s="84">
        <v>8</v>
      </c>
    </row>
    <row r="74" spans="1:13">
      <c r="A74" s="84" t="s">
        <v>87</v>
      </c>
      <c r="B74" s="84">
        <v>0</v>
      </c>
      <c r="C74" s="84">
        <v>0</v>
      </c>
      <c r="D74" s="84">
        <v>0</v>
      </c>
      <c r="E74" s="84">
        <v>0</v>
      </c>
      <c r="F74" s="84">
        <v>2</v>
      </c>
      <c r="G74" s="84">
        <v>1</v>
      </c>
      <c r="H74" s="84">
        <v>0</v>
      </c>
      <c r="I74" s="84">
        <v>3</v>
      </c>
      <c r="J74" s="84">
        <v>1</v>
      </c>
      <c r="K74" s="84">
        <v>2</v>
      </c>
      <c r="L74" s="84">
        <v>0</v>
      </c>
      <c r="M74" s="84">
        <v>0</v>
      </c>
    </row>
    <row r="75" spans="1:13">
      <c r="A75" s="84" t="s">
        <v>88</v>
      </c>
      <c r="B75" s="84">
        <f>B72-B73-B74</f>
        <v>23</v>
      </c>
      <c r="C75" s="84">
        <f t="shared" ref="C75:L75" si="4">C72-C73-C74</f>
        <v>20</v>
      </c>
      <c r="D75" s="84">
        <f t="shared" si="4"/>
        <v>23</v>
      </c>
      <c r="E75" s="84">
        <f t="shared" si="4"/>
        <v>22</v>
      </c>
      <c r="F75" s="84">
        <f t="shared" si="4"/>
        <v>19</v>
      </c>
      <c r="G75" s="84">
        <f t="shared" si="4"/>
        <v>22</v>
      </c>
      <c r="H75" s="84">
        <f t="shared" si="4"/>
        <v>21</v>
      </c>
      <c r="I75" s="84">
        <f t="shared" si="4"/>
        <v>18</v>
      </c>
      <c r="J75" s="84">
        <f t="shared" si="4"/>
        <v>21</v>
      </c>
      <c r="K75" s="84">
        <f t="shared" si="4"/>
        <v>20</v>
      </c>
      <c r="L75" s="84">
        <f t="shared" si="4"/>
        <v>21</v>
      </c>
      <c r="M75" s="156">
        <v>0</v>
      </c>
    </row>
    <row r="76" spans="1:13">
      <c r="A76" s="84" t="s">
        <v>89</v>
      </c>
      <c r="B76" s="84">
        <v>13</v>
      </c>
      <c r="C76" s="84">
        <v>20</v>
      </c>
      <c r="D76" s="84">
        <v>18</v>
      </c>
      <c r="E76" s="84">
        <v>22</v>
      </c>
      <c r="F76" s="84">
        <v>15</v>
      </c>
      <c r="G76" s="84">
        <v>22</v>
      </c>
      <c r="H76" s="84">
        <v>16</v>
      </c>
      <c r="I76" s="84">
        <v>15</v>
      </c>
      <c r="J76" s="84">
        <v>21</v>
      </c>
      <c r="K76" s="84">
        <v>19</v>
      </c>
      <c r="L76" s="84">
        <v>19</v>
      </c>
      <c r="M76" s="84">
        <v>0</v>
      </c>
    </row>
    <row r="78" spans="1:13">
      <c r="A78" s="84" t="s">
        <v>85</v>
      </c>
      <c r="B78" s="84">
        <f>SUM(B72:M72)</f>
        <v>366</v>
      </c>
    </row>
    <row r="79" spans="1:13">
      <c r="A79" s="84" t="s">
        <v>86</v>
      </c>
      <c r="B79" s="84">
        <f>SUM(B73:M73)</f>
        <v>104</v>
      </c>
    </row>
    <row r="80" spans="1:13">
      <c r="A80" s="84" t="s">
        <v>87</v>
      </c>
      <c r="B80" s="84">
        <f>SUM(B74:M74)</f>
        <v>9</v>
      </c>
    </row>
    <row r="81" spans="1:2">
      <c r="A81" s="84" t="s">
        <v>88</v>
      </c>
      <c r="B81" s="156">
        <f>SUM(B75:M75)-1</f>
        <v>229</v>
      </c>
    </row>
    <row r="82" spans="1:2">
      <c r="A82" s="84" t="s">
        <v>89</v>
      </c>
      <c r="B82" s="84">
        <f>SUM(B76:M76)</f>
        <v>200</v>
      </c>
    </row>
  </sheetData>
  <phoneticPr fontId="14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08"/>
  <sheetViews>
    <sheetView defaultGridColor="0" topLeftCell="A41" colorId="22" zoomScale="87" zoomScaleNormal="87" workbookViewId="0">
      <selection activeCell="C60" sqref="C60"/>
    </sheetView>
  </sheetViews>
  <sheetFormatPr defaultColWidth="9.77734375" defaultRowHeight="15"/>
  <cols>
    <col min="1" max="1" width="10.88671875" customWidth="1"/>
    <col min="2" max="2" width="11" style="7" bestFit="1" customWidth="1"/>
    <col min="3" max="3" width="10.6640625" style="7" customWidth="1"/>
    <col min="4" max="4" width="10.44140625" bestFit="1" customWidth="1"/>
    <col min="5" max="5" width="9.88671875" bestFit="1" customWidth="1"/>
    <col min="6" max="6" width="12.109375" customWidth="1"/>
    <col min="7" max="7" width="10.44140625" bestFit="1" customWidth="1"/>
    <col min="8" max="8" width="8.77734375" bestFit="1" customWidth="1"/>
  </cols>
  <sheetData>
    <row r="1" spans="1:4" ht="16.5" thickTop="1">
      <c r="A1" s="26" t="s">
        <v>25</v>
      </c>
      <c r="B1" s="27"/>
      <c r="C1" s="28"/>
      <c r="D1" s="29"/>
    </row>
    <row r="2" spans="1:4" ht="15.75">
      <c r="A2" s="30" t="s">
        <v>26</v>
      </c>
      <c r="B2" s="31"/>
      <c r="C2" s="32"/>
      <c r="D2" s="33"/>
    </row>
    <row r="3" spans="1:4" ht="16.5" thickBot="1">
      <c r="A3" s="34" t="s">
        <v>27</v>
      </c>
      <c r="B3" s="35"/>
      <c r="C3" s="36"/>
      <c r="D3" s="37"/>
    </row>
    <row r="4" spans="1:4" ht="0.2" customHeight="1" thickTop="1"/>
    <row r="5" spans="1:4" ht="0.2" customHeight="1"/>
    <row r="6" spans="1:4" ht="0.2" customHeight="1"/>
    <row r="7" spans="1:4" ht="0.2" customHeight="1"/>
    <row r="8" spans="1:4" ht="0.2" customHeight="1"/>
    <row r="9" spans="1:4" ht="0.2" customHeight="1"/>
    <row r="10" spans="1:4" ht="0.2" customHeight="1"/>
    <row r="11" spans="1:4" ht="0.2" customHeight="1"/>
    <row r="12" spans="1:4" ht="0.2" customHeight="1"/>
    <row r="13" spans="1:4" ht="0.2" customHeight="1">
      <c r="B13" s="8"/>
      <c r="C13" s="10"/>
      <c r="D13" s="3"/>
    </row>
    <row r="14" spans="1:4" ht="0.2" customHeight="1">
      <c r="B14" s="8"/>
      <c r="C14" s="10"/>
      <c r="D14" s="3"/>
    </row>
    <row r="15" spans="1:4" ht="0.2" customHeight="1">
      <c r="B15" s="9"/>
      <c r="C15" s="11"/>
      <c r="D15" s="3"/>
    </row>
    <row r="16" spans="1:4" ht="0.2" customHeight="1">
      <c r="B16" s="9"/>
      <c r="C16" s="11"/>
      <c r="D16" s="3"/>
    </row>
    <row r="17" spans="1:10" ht="0.2" customHeight="1">
      <c r="B17" s="9"/>
      <c r="C17" s="11"/>
      <c r="D17" s="3"/>
    </row>
    <row r="18" spans="1:10" ht="0.2" customHeight="1">
      <c r="B18" s="9"/>
      <c r="C18" s="11"/>
      <c r="D18" s="3"/>
    </row>
    <row r="19" spans="1:10" ht="0.2" customHeight="1" thickBot="1">
      <c r="C19" s="11"/>
      <c r="D19" s="3"/>
    </row>
    <row r="20" spans="1:10" ht="15.75" customHeight="1" thickTop="1" thickBot="1">
      <c r="A20" s="43" t="s">
        <v>48</v>
      </c>
      <c r="B20" s="48" t="s">
        <v>160</v>
      </c>
    </row>
    <row r="21" spans="1:10" ht="15" customHeight="1">
      <c r="B21" s="73"/>
      <c r="C21" s="64" t="s">
        <v>1</v>
      </c>
    </row>
    <row r="22" spans="1:10" ht="15.6" customHeight="1">
      <c r="A22" s="70" t="s">
        <v>0</v>
      </c>
      <c r="B22" s="44">
        <v>1.248812</v>
      </c>
      <c r="C22" s="44">
        <v>1</v>
      </c>
      <c r="D22" s="71" t="s">
        <v>69</v>
      </c>
      <c r="F22" s="75"/>
      <c r="G22" s="76"/>
      <c r="H22" s="76"/>
      <c r="I22" s="76"/>
      <c r="J22" s="77"/>
    </row>
    <row r="23" spans="1:10" ht="15.6" customHeight="1">
      <c r="A23" s="72">
        <v>23</v>
      </c>
      <c r="B23" s="206">
        <v>275921</v>
      </c>
      <c r="C23" s="73"/>
      <c r="D23" s="206">
        <v>261817</v>
      </c>
      <c r="E23" s="1"/>
      <c r="F23" s="75"/>
      <c r="G23" s="76"/>
      <c r="H23" s="77"/>
      <c r="I23" s="76"/>
    </row>
    <row r="24" spans="1:10" ht="15.75">
      <c r="A24" s="72">
        <v>24</v>
      </c>
      <c r="B24" s="206">
        <v>279761</v>
      </c>
      <c r="C24" s="73">
        <f t="shared" ref="C24:C53" si="0">B24-B23</f>
        <v>3840</v>
      </c>
      <c r="D24" s="206">
        <v>266058</v>
      </c>
      <c r="E24" s="1"/>
      <c r="F24" s="75"/>
      <c r="G24" s="76"/>
      <c r="H24" s="77"/>
      <c r="I24" s="76"/>
    </row>
    <row r="25" spans="1:10" ht="15.75">
      <c r="A25" s="72">
        <v>25</v>
      </c>
      <c r="B25" s="206">
        <v>283664</v>
      </c>
      <c r="C25" s="73">
        <f t="shared" si="0"/>
        <v>3903</v>
      </c>
      <c r="D25" s="206">
        <v>270388</v>
      </c>
      <c r="E25" s="1"/>
      <c r="F25" s="78"/>
      <c r="G25" s="76"/>
      <c r="H25" s="80"/>
      <c r="I25" s="79"/>
    </row>
    <row r="26" spans="1:10" ht="15.75">
      <c r="A26" s="72">
        <v>26</v>
      </c>
      <c r="B26" s="206">
        <v>287636</v>
      </c>
      <c r="C26" s="73">
        <f t="shared" si="0"/>
        <v>3972</v>
      </c>
      <c r="D26" s="206">
        <v>274817</v>
      </c>
      <c r="E26" s="1"/>
      <c r="F26" s="75"/>
      <c r="G26" s="76"/>
      <c r="H26" s="77"/>
      <c r="I26" s="76"/>
    </row>
    <row r="27" spans="1:10" ht="15.75">
      <c r="A27" s="72">
        <v>27</v>
      </c>
      <c r="B27" s="206">
        <v>291675</v>
      </c>
      <c r="C27" s="73">
        <f t="shared" si="0"/>
        <v>4039</v>
      </c>
      <c r="D27" s="206">
        <v>279348</v>
      </c>
      <c r="E27" s="1"/>
      <c r="F27" s="75"/>
      <c r="G27" s="76"/>
      <c r="H27" s="77"/>
      <c r="I27" s="76"/>
    </row>
    <row r="28" spans="1:10" ht="15.75">
      <c r="A28" s="72">
        <v>28</v>
      </c>
      <c r="B28" s="206">
        <v>295782</v>
      </c>
      <c r="C28" s="73">
        <f t="shared" si="0"/>
        <v>4107</v>
      </c>
      <c r="D28" s="206">
        <v>283979</v>
      </c>
      <c r="E28" s="1"/>
      <c r="F28" s="75"/>
      <c r="G28" s="76"/>
      <c r="H28" s="77"/>
      <c r="I28" s="76"/>
    </row>
    <row r="29" spans="1:10" ht="15.75">
      <c r="A29" s="72">
        <v>29</v>
      </c>
      <c r="B29" s="206">
        <v>299958</v>
      </c>
      <c r="C29" s="73">
        <f t="shared" si="0"/>
        <v>4176</v>
      </c>
      <c r="D29" s="206">
        <v>288714</v>
      </c>
      <c r="E29" s="1"/>
      <c r="F29" s="75"/>
      <c r="G29" s="76"/>
      <c r="H29" s="77"/>
      <c r="I29" s="76"/>
    </row>
    <row r="30" spans="1:10" ht="15.75">
      <c r="A30" s="72">
        <v>30</v>
      </c>
      <c r="B30" s="206">
        <v>304199</v>
      </c>
      <c r="C30" s="73">
        <f t="shared" si="0"/>
        <v>4241</v>
      </c>
      <c r="D30" s="206">
        <v>293552</v>
      </c>
      <c r="E30" s="1"/>
      <c r="F30" s="78"/>
      <c r="G30" s="79"/>
      <c r="H30" s="80"/>
      <c r="I30" s="79"/>
    </row>
    <row r="31" spans="1:10" ht="15.75">
      <c r="A31" s="72">
        <v>31</v>
      </c>
      <c r="B31" s="206">
        <v>308515</v>
      </c>
      <c r="C31" s="73">
        <f t="shared" si="0"/>
        <v>4316</v>
      </c>
      <c r="D31" s="206">
        <v>298500</v>
      </c>
      <c r="E31" s="1"/>
      <c r="F31" s="75"/>
      <c r="G31" s="76"/>
      <c r="H31" s="77"/>
      <c r="I31" s="76"/>
    </row>
    <row r="32" spans="1:10" ht="15.75">
      <c r="A32" s="72">
        <v>32</v>
      </c>
      <c r="B32" s="206">
        <v>312898</v>
      </c>
      <c r="C32" s="73">
        <f t="shared" si="0"/>
        <v>4383</v>
      </c>
      <c r="D32" s="206">
        <v>303557</v>
      </c>
      <c r="E32" s="1"/>
      <c r="F32" s="75"/>
      <c r="G32" s="76"/>
      <c r="H32" s="77"/>
      <c r="I32" s="76"/>
    </row>
    <row r="33" spans="1:9" ht="15.75">
      <c r="A33" s="72">
        <v>33</v>
      </c>
      <c r="B33" s="206">
        <v>317351</v>
      </c>
      <c r="C33" s="73">
        <f t="shared" si="0"/>
        <v>4453</v>
      </c>
      <c r="D33" s="206">
        <v>308725</v>
      </c>
      <c r="E33" s="1"/>
      <c r="F33" s="75"/>
      <c r="G33" s="76"/>
      <c r="H33" s="77"/>
      <c r="I33" s="76"/>
    </row>
    <row r="34" spans="1:9" ht="15.75">
      <c r="A34" s="72">
        <v>34</v>
      </c>
      <c r="B34" s="206">
        <v>321882</v>
      </c>
      <c r="C34" s="73">
        <f t="shared" si="0"/>
        <v>4531</v>
      </c>
      <c r="D34" s="206">
        <v>314013</v>
      </c>
      <c r="E34" s="1"/>
      <c r="F34" s="75"/>
      <c r="G34" s="76"/>
      <c r="H34" s="77"/>
      <c r="I34" s="76"/>
    </row>
    <row r="35" spans="1:9" ht="15.75">
      <c r="A35" s="72">
        <v>35</v>
      </c>
      <c r="B35" s="206">
        <v>326477</v>
      </c>
      <c r="C35" s="73">
        <f t="shared" si="0"/>
        <v>4595</v>
      </c>
      <c r="D35" s="206">
        <v>319411</v>
      </c>
      <c r="E35" s="1"/>
      <c r="F35" s="78"/>
      <c r="G35" s="79"/>
      <c r="H35" s="80"/>
      <c r="I35" s="79"/>
    </row>
    <row r="36" spans="1:9" ht="15.75">
      <c r="A36" s="72">
        <v>36</v>
      </c>
      <c r="B36" s="206">
        <v>331147</v>
      </c>
      <c r="C36" s="73">
        <f t="shared" si="0"/>
        <v>4670</v>
      </c>
      <c r="D36" s="206">
        <v>324933</v>
      </c>
      <c r="E36" s="1"/>
      <c r="F36" s="75"/>
      <c r="G36" s="76"/>
      <c r="H36" s="77"/>
      <c r="I36" s="76"/>
    </row>
    <row r="37" spans="1:9" ht="15.75">
      <c r="A37" s="72">
        <v>37</v>
      </c>
      <c r="B37" s="206">
        <v>335890</v>
      </c>
      <c r="C37" s="73">
        <f t="shared" si="0"/>
        <v>4743</v>
      </c>
      <c r="D37" s="206">
        <v>330576</v>
      </c>
      <c r="E37" s="1"/>
      <c r="F37" s="75"/>
      <c r="G37" s="76"/>
      <c r="H37" s="77"/>
      <c r="I37" s="76"/>
    </row>
    <row r="38" spans="1:9" ht="15.75">
      <c r="A38" s="72">
        <v>38</v>
      </c>
      <c r="B38" s="206">
        <v>341015</v>
      </c>
      <c r="C38" s="73">
        <f t="shared" si="0"/>
        <v>5125</v>
      </c>
      <c r="D38" s="206">
        <v>336565</v>
      </c>
      <c r="E38" s="1"/>
      <c r="F38" s="75"/>
      <c r="G38" s="76"/>
      <c r="H38" s="77"/>
      <c r="I38" s="76"/>
    </row>
    <row r="39" spans="1:9" ht="15.75">
      <c r="A39" s="72">
        <v>39</v>
      </c>
      <c r="B39" s="206">
        <v>346003</v>
      </c>
      <c r="C39" s="73">
        <f t="shared" si="0"/>
        <v>4988</v>
      </c>
      <c r="D39" s="206">
        <v>342578</v>
      </c>
      <c r="E39" s="1"/>
      <c r="F39" s="75"/>
      <c r="G39" s="76"/>
      <c r="H39" s="77"/>
      <c r="I39" s="76"/>
    </row>
    <row r="40" spans="1:9" ht="15.75">
      <c r="A40" s="72">
        <v>40</v>
      </c>
      <c r="B40" s="206">
        <v>351071</v>
      </c>
      <c r="C40" s="73">
        <f t="shared" si="0"/>
        <v>5068</v>
      </c>
      <c r="D40" s="206">
        <v>348727</v>
      </c>
      <c r="E40" s="1"/>
      <c r="F40" s="78"/>
      <c r="G40" s="79"/>
      <c r="H40" s="80"/>
      <c r="I40" s="79"/>
    </row>
    <row r="41" spans="1:9" ht="15.75">
      <c r="A41" s="72">
        <v>41</v>
      </c>
      <c r="B41" s="206">
        <v>356213</v>
      </c>
      <c r="C41" s="73">
        <f t="shared" si="0"/>
        <v>5142</v>
      </c>
      <c r="D41" s="206">
        <v>355010</v>
      </c>
      <c r="E41" s="1"/>
      <c r="F41" s="75"/>
      <c r="G41" s="76"/>
      <c r="H41" s="77"/>
      <c r="I41" s="76"/>
    </row>
    <row r="42" spans="1:9" ht="15.75">
      <c r="A42" s="72">
        <v>42</v>
      </c>
      <c r="B42" s="206">
        <v>361429</v>
      </c>
      <c r="C42" s="73">
        <f t="shared" si="0"/>
        <v>5216</v>
      </c>
      <c r="D42" s="206">
        <v>361429</v>
      </c>
      <c r="E42" s="1"/>
      <c r="F42" s="75"/>
      <c r="G42" s="76"/>
      <c r="H42" s="77"/>
      <c r="I42" s="76"/>
    </row>
    <row r="43" spans="1:9" ht="15.75">
      <c r="A43" s="72">
        <v>43</v>
      </c>
      <c r="B43" s="206">
        <v>369461</v>
      </c>
      <c r="C43" s="73">
        <f t="shared" si="0"/>
        <v>8032</v>
      </c>
      <c r="D43" s="206">
        <v>369461</v>
      </c>
      <c r="E43" s="1"/>
      <c r="F43" s="75"/>
      <c r="G43" s="76"/>
      <c r="H43" s="77"/>
      <c r="I43" s="76"/>
    </row>
    <row r="44" spans="1:9" ht="15.75">
      <c r="A44" s="72">
        <v>44</v>
      </c>
      <c r="B44" s="206">
        <v>377716</v>
      </c>
      <c r="C44" s="73">
        <f t="shared" si="0"/>
        <v>8255</v>
      </c>
      <c r="D44" s="206">
        <v>377716</v>
      </c>
      <c r="E44" s="1"/>
      <c r="F44" s="75"/>
      <c r="G44" s="76"/>
      <c r="H44" s="77"/>
      <c r="I44" s="76"/>
    </row>
    <row r="45" spans="1:9" ht="15.75">
      <c r="A45" s="72">
        <v>45</v>
      </c>
      <c r="B45" s="206">
        <v>386196</v>
      </c>
      <c r="C45" s="73">
        <f t="shared" si="0"/>
        <v>8480</v>
      </c>
      <c r="D45" s="206">
        <v>386196</v>
      </c>
      <c r="E45" s="1"/>
      <c r="F45" s="78"/>
      <c r="G45" s="79"/>
      <c r="H45" s="80"/>
      <c r="I45" s="79"/>
    </row>
    <row r="46" spans="1:9" ht="15.75">
      <c r="A46" s="72">
        <v>46</v>
      </c>
      <c r="B46" s="206">
        <v>394911</v>
      </c>
      <c r="C46" s="73">
        <f t="shared" si="0"/>
        <v>8715</v>
      </c>
      <c r="D46" s="206">
        <v>394911</v>
      </c>
      <c r="E46" s="1"/>
      <c r="F46" s="75"/>
      <c r="G46" s="76"/>
      <c r="H46" s="77"/>
      <c r="I46" s="76"/>
    </row>
    <row r="47" spans="1:9" ht="15.75">
      <c r="A47" s="72">
        <v>47</v>
      </c>
      <c r="B47" s="206">
        <v>401940</v>
      </c>
      <c r="C47" s="73">
        <f t="shared" si="0"/>
        <v>7029</v>
      </c>
      <c r="D47" s="206">
        <v>401940</v>
      </c>
      <c r="E47" s="1"/>
      <c r="F47" s="75"/>
      <c r="G47" s="76"/>
      <c r="H47" s="77"/>
      <c r="I47" s="76"/>
    </row>
    <row r="48" spans="1:9" ht="15.75">
      <c r="A48" s="72">
        <v>48</v>
      </c>
      <c r="B48" s="206">
        <v>420416</v>
      </c>
      <c r="C48" s="73">
        <f t="shared" si="0"/>
        <v>18476</v>
      </c>
      <c r="D48" s="206">
        <v>420416</v>
      </c>
      <c r="E48" s="1"/>
      <c r="F48" s="75"/>
      <c r="G48" s="76"/>
      <c r="H48" s="77"/>
      <c r="I48" s="76"/>
    </row>
    <row r="49" spans="1:10" ht="15.75">
      <c r="A49" s="72">
        <v>49</v>
      </c>
      <c r="B49" s="206">
        <v>448631</v>
      </c>
      <c r="C49" s="73">
        <f t="shared" si="0"/>
        <v>28215</v>
      </c>
      <c r="D49" s="206">
        <v>448631</v>
      </c>
      <c r="E49" s="1"/>
      <c r="F49" s="75"/>
      <c r="G49" s="76"/>
      <c r="H49" s="77"/>
      <c r="I49" s="76"/>
    </row>
    <row r="50" spans="1:10" ht="15.75">
      <c r="A50" s="72">
        <v>50</v>
      </c>
      <c r="B50" s="206">
        <v>479948</v>
      </c>
      <c r="C50" s="73">
        <f t="shared" si="0"/>
        <v>31317</v>
      </c>
      <c r="D50" s="206">
        <v>479948</v>
      </c>
      <c r="E50" s="1"/>
      <c r="F50" s="78"/>
      <c r="G50" s="79"/>
      <c r="H50" s="80"/>
      <c r="I50" s="79"/>
    </row>
    <row r="51" spans="1:10" ht="15.75">
      <c r="A51" s="72">
        <v>51</v>
      </c>
      <c r="B51" s="206">
        <v>530138</v>
      </c>
      <c r="C51" s="73">
        <f t="shared" si="0"/>
        <v>50190</v>
      </c>
      <c r="D51" s="206">
        <v>530138</v>
      </c>
      <c r="E51" s="1"/>
      <c r="F51" s="75"/>
      <c r="G51" s="76"/>
      <c r="H51" s="77"/>
      <c r="I51" s="76"/>
    </row>
    <row r="52" spans="1:10" ht="15.75">
      <c r="A52" s="72">
        <v>52</v>
      </c>
      <c r="B52" s="206">
        <v>603231</v>
      </c>
      <c r="C52" s="73">
        <f t="shared" si="0"/>
        <v>73093</v>
      </c>
      <c r="D52" s="206">
        <v>603231</v>
      </c>
      <c r="E52" s="1"/>
      <c r="F52" s="75"/>
      <c r="G52" s="76"/>
      <c r="H52" s="77"/>
      <c r="I52" s="76"/>
    </row>
    <row r="53" spans="1:10" ht="15.75">
      <c r="A53" s="72">
        <v>53</v>
      </c>
      <c r="B53" s="206">
        <v>662325</v>
      </c>
      <c r="C53" s="73">
        <f t="shared" si="0"/>
        <v>59094</v>
      </c>
      <c r="D53" s="206">
        <v>662325</v>
      </c>
      <c r="E53" s="1"/>
      <c r="F53" s="75"/>
      <c r="G53" s="76"/>
      <c r="H53" s="77"/>
      <c r="I53" s="76"/>
    </row>
    <row r="54" spans="1:10" ht="15.75">
      <c r="A54" s="49"/>
      <c r="B54" s="50"/>
      <c r="C54" s="8"/>
      <c r="F54" s="75"/>
      <c r="G54" s="76"/>
      <c r="H54" s="76"/>
      <c r="I54" s="76"/>
      <c r="J54" s="77"/>
    </row>
    <row r="55" spans="1:10" ht="15.75">
      <c r="B55" s="64" t="s">
        <v>1</v>
      </c>
      <c r="C55" s="65" t="str">
        <f>B20</f>
        <v>1.4.2010</v>
      </c>
      <c r="F55" s="78"/>
      <c r="G55" s="79"/>
      <c r="H55" s="79"/>
      <c r="I55" s="79"/>
      <c r="J55" s="80"/>
    </row>
    <row r="56" spans="1:10" ht="15.75">
      <c r="B56" s="67">
        <f>C22</f>
        <v>1</v>
      </c>
      <c r="C56" s="67">
        <f>B22</f>
        <v>1.248812</v>
      </c>
      <c r="E56" s="16" t="s">
        <v>25</v>
      </c>
      <c r="F56" s="81"/>
      <c r="G56" s="82"/>
      <c r="H56" s="79"/>
      <c r="I56" s="79"/>
      <c r="J56" s="80"/>
    </row>
    <row r="57" spans="1:10" ht="15.75">
      <c r="A57">
        <v>3000</v>
      </c>
      <c r="B57" s="66">
        <v>3000</v>
      </c>
      <c r="C57" s="66">
        <f t="shared" ref="C57:C69" si="1">ROUND($B$22*B57,2)</f>
        <v>3746.44</v>
      </c>
      <c r="E57" s="16" t="s">
        <v>26</v>
      </c>
      <c r="F57" s="18"/>
      <c r="G57" s="18"/>
    </row>
    <row r="58" spans="1:10" ht="15.75">
      <c r="A58">
        <v>2000</v>
      </c>
      <c r="B58" s="45">
        <v>2000</v>
      </c>
      <c r="C58" s="45">
        <f t="shared" si="1"/>
        <v>2497.62</v>
      </c>
      <c r="E58" s="16" t="s">
        <v>27</v>
      </c>
      <c r="F58" s="18"/>
      <c r="G58" s="18"/>
    </row>
    <row r="59" spans="1:10" ht="15.75">
      <c r="A59">
        <v>7000</v>
      </c>
      <c r="B59" s="45">
        <v>7000</v>
      </c>
      <c r="C59" s="45">
        <f t="shared" si="1"/>
        <v>8741.68</v>
      </c>
      <c r="E59" s="16"/>
      <c r="F59" s="18"/>
      <c r="G59" s="18"/>
    </row>
    <row r="60" spans="1:10">
      <c r="A60">
        <v>10000</v>
      </c>
      <c r="B60" s="45">
        <v>10000</v>
      </c>
      <c r="C60" s="45">
        <f t="shared" si="1"/>
        <v>12488.12</v>
      </c>
    </row>
    <row r="61" spans="1:10" ht="15.75">
      <c r="A61">
        <v>13000</v>
      </c>
      <c r="B61" s="45">
        <v>13000</v>
      </c>
      <c r="C61" s="45">
        <f t="shared" si="1"/>
        <v>16234.56</v>
      </c>
      <c r="D61" s="2"/>
    </row>
    <row r="62" spans="1:10" ht="15.75">
      <c r="A62" t="s">
        <v>110</v>
      </c>
      <c r="B62" s="45">
        <v>7041</v>
      </c>
      <c r="C62" s="45">
        <f t="shared" si="1"/>
        <v>8792.89</v>
      </c>
      <c r="D62" s="2"/>
    </row>
    <row r="63" spans="1:10" ht="15.75">
      <c r="A63" t="s">
        <v>114</v>
      </c>
      <c r="B63" s="45">
        <v>2686</v>
      </c>
      <c r="C63" s="45">
        <f t="shared" si="1"/>
        <v>3354.31</v>
      </c>
      <c r="D63" s="2"/>
    </row>
    <row r="64" spans="1:10" ht="15.75">
      <c r="A64" t="s">
        <v>115</v>
      </c>
      <c r="B64" s="45">
        <v>4641</v>
      </c>
      <c r="C64" s="45">
        <f t="shared" si="1"/>
        <v>5795.74</v>
      </c>
      <c r="D64" s="2"/>
    </row>
    <row r="65" spans="1:4" ht="15.75">
      <c r="A65" t="s">
        <v>111</v>
      </c>
      <c r="B65" s="46">
        <v>7200</v>
      </c>
      <c r="C65" s="45">
        <f>ROUND($B$22*B65,2)</f>
        <v>8991.4500000000007</v>
      </c>
      <c r="D65" s="2"/>
    </row>
    <row r="66" spans="1:4" ht="15.75">
      <c r="A66" t="s">
        <v>161</v>
      </c>
      <c r="B66" s="46">
        <v>5600</v>
      </c>
      <c r="C66" s="45">
        <f>ROUND($B$22*B66,2)</f>
        <v>6993.35</v>
      </c>
      <c r="D66" s="2"/>
    </row>
    <row r="67" spans="1:4">
      <c r="A67" t="s">
        <v>79</v>
      </c>
      <c r="B67" s="46">
        <v>26400</v>
      </c>
      <c r="C67" s="45">
        <f t="shared" si="1"/>
        <v>32968.639999999999</v>
      </c>
      <c r="D67" s="45"/>
    </row>
    <row r="68" spans="1:4">
      <c r="A68" t="s">
        <v>80</v>
      </c>
      <c r="B68" s="46">
        <v>43</v>
      </c>
      <c r="C68" s="45">
        <f t="shared" si="1"/>
        <v>53.7</v>
      </c>
    </row>
    <row r="69" spans="1:4">
      <c r="A69" t="s">
        <v>81</v>
      </c>
      <c r="B69" s="46">
        <v>20</v>
      </c>
      <c r="C69" s="45">
        <f t="shared" si="1"/>
        <v>24.98</v>
      </c>
    </row>
    <row r="70" spans="1:4">
      <c r="D70" s="45"/>
    </row>
    <row r="71" spans="1:4">
      <c r="A71" t="s">
        <v>3</v>
      </c>
      <c r="B71" s="47">
        <v>26000</v>
      </c>
      <c r="C71" s="45">
        <f>ROUND($B$22*B71,2)</f>
        <v>32469.11</v>
      </c>
    </row>
    <row r="72" spans="1:4">
      <c r="A72" t="s">
        <v>90</v>
      </c>
      <c r="B72" s="47">
        <v>28300</v>
      </c>
      <c r="C72" s="45">
        <f>ROUND($B$22*B72,2)</f>
        <v>35341.379999999997</v>
      </c>
    </row>
    <row r="73" spans="1:4">
      <c r="A73" t="s">
        <v>13</v>
      </c>
      <c r="B73" s="47">
        <v>27.09</v>
      </c>
      <c r="C73" s="45">
        <f>ROUND($B$22*B73,2)</f>
        <v>33.83</v>
      </c>
      <c r="D73" t="s">
        <v>14</v>
      </c>
    </row>
    <row r="74" spans="1:4">
      <c r="A74" t="s">
        <v>15</v>
      </c>
      <c r="B74" s="47">
        <v>84.05</v>
      </c>
      <c r="C74" s="45">
        <f>ROUND($B$22*B74,2)</f>
        <v>104.96</v>
      </c>
      <c r="D74" t="s">
        <v>16</v>
      </c>
    </row>
    <row r="75" spans="1:4">
      <c r="A75" t="s">
        <v>17</v>
      </c>
      <c r="B75" s="46">
        <v>28.13</v>
      </c>
      <c r="C75" s="45">
        <f>ROUND($B$22*B75,2)</f>
        <v>35.130000000000003</v>
      </c>
      <c r="D75" t="s">
        <v>18</v>
      </c>
    </row>
    <row r="76" spans="1:4">
      <c r="B76" s="46"/>
      <c r="C76" s="46"/>
    </row>
    <row r="77" spans="1:4">
      <c r="A77" t="s">
        <v>19</v>
      </c>
      <c r="B77" s="47">
        <v>9.9600000000000009</v>
      </c>
      <c r="C77" s="45">
        <f t="shared" ref="C77:C94" si="2">ROUND($B$22*B77,2)</f>
        <v>12.44</v>
      </c>
      <c r="D77" t="s">
        <v>14</v>
      </c>
    </row>
    <row r="78" spans="1:4">
      <c r="A78" t="s">
        <v>20</v>
      </c>
      <c r="B78" s="46">
        <f>B74</f>
        <v>84.05</v>
      </c>
      <c r="C78" s="45">
        <f t="shared" si="2"/>
        <v>104.96</v>
      </c>
      <c r="D78" t="s">
        <v>16</v>
      </c>
    </row>
    <row r="79" spans="1:4">
      <c r="A79" t="s">
        <v>21</v>
      </c>
      <c r="B79" s="46">
        <f>B75</f>
        <v>28.13</v>
      </c>
      <c r="C79" s="45">
        <f t="shared" si="2"/>
        <v>35.130000000000003</v>
      </c>
      <c r="D79" t="s">
        <v>18</v>
      </c>
    </row>
    <row r="80" spans="1:4">
      <c r="A80" t="s">
        <v>82</v>
      </c>
      <c r="B80" s="46">
        <v>100</v>
      </c>
      <c r="C80" s="45">
        <f t="shared" si="2"/>
        <v>124.88</v>
      </c>
      <c r="D80" t="s">
        <v>83</v>
      </c>
    </row>
    <row r="81" spans="1:3">
      <c r="A81" t="s">
        <v>6</v>
      </c>
      <c r="B81" s="46">
        <v>7.25</v>
      </c>
      <c r="C81" s="45">
        <f t="shared" si="2"/>
        <v>9.0500000000000007</v>
      </c>
    </row>
    <row r="82" spans="1:3">
      <c r="A82" t="s">
        <v>4</v>
      </c>
      <c r="B82" s="46">
        <v>126.95</v>
      </c>
      <c r="C82" s="45">
        <f t="shared" si="2"/>
        <v>158.54</v>
      </c>
    </row>
    <row r="83" spans="1:3" ht="15" customHeight="1">
      <c r="A83" t="s">
        <v>5</v>
      </c>
      <c r="B83" s="46">
        <v>288.75</v>
      </c>
      <c r="C83" s="45">
        <f t="shared" si="2"/>
        <v>360.59</v>
      </c>
    </row>
    <row r="84" spans="1:3" ht="15" customHeight="1">
      <c r="A84" t="s">
        <v>99</v>
      </c>
      <c r="B84" s="46">
        <v>18.920000000000002</v>
      </c>
      <c r="C84" s="45">
        <f t="shared" si="2"/>
        <v>23.63</v>
      </c>
    </row>
    <row r="85" spans="1:3" ht="19.5" customHeight="1">
      <c r="A85" t="s">
        <v>94</v>
      </c>
      <c r="B85" s="46">
        <v>32.43</v>
      </c>
      <c r="C85" s="45">
        <f t="shared" si="2"/>
        <v>40.5</v>
      </c>
    </row>
    <row r="86" spans="1:3" ht="19.5" customHeight="1">
      <c r="A86" t="s">
        <v>95</v>
      </c>
      <c r="B86" s="46">
        <v>15</v>
      </c>
      <c r="C86" s="45">
        <f t="shared" si="2"/>
        <v>18.73</v>
      </c>
    </row>
    <row r="87" spans="1:3" ht="19.5" customHeight="1">
      <c r="A87" t="s">
        <v>97</v>
      </c>
      <c r="B87" s="46">
        <v>25.84</v>
      </c>
      <c r="C87" s="45">
        <f t="shared" si="2"/>
        <v>32.270000000000003</v>
      </c>
    </row>
    <row r="88" spans="1:3" ht="19.5" customHeight="1">
      <c r="A88" t="s">
        <v>84</v>
      </c>
      <c r="B88" s="46">
        <v>5</v>
      </c>
      <c r="C88" s="45">
        <f t="shared" si="2"/>
        <v>6.24</v>
      </c>
    </row>
    <row r="89" spans="1:3" ht="20.25" customHeight="1">
      <c r="A89" t="s">
        <v>7</v>
      </c>
      <c r="B89" s="47">
        <v>11200</v>
      </c>
      <c r="C89" s="45">
        <f t="shared" si="2"/>
        <v>13986.69</v>
      </c>
    </row>
    <row r="90" spans="1:3">
      <c r="A90" t="s">
        <v>9</v>
      </c>
      <c r="B90" s="46">
        <v>10500</v>
      </c>
      <c r="C90" s="45">
        <f t="shared" si="2"/>
        <v>13112.53</v>
      </c>
    </row>
    <row r="91" spans="1:3">
      <c r="A91" t="s">
        <v>70</v>
      </c>
      <c r="B91" s="46">
        <v>235</v>
      </c>
      <c r="C91" s="45">
        <f t="shared" si="2"/>
        <v>293.47000000000003</v>
      </c>
    </row>
    <row r="92" spans="1:3">
      <c r="B92" s="46"/>
      <c r="C92" s="45"/>
    </row>
    <row r="93" spans="1:3" ht="18" customHeight="1">
      <c r="A93" t="s">
        <v>104</v>
      </c>
      <c r="B93" s="46">
        <v>18600</v>
      </c>
      <c r="C93" s="45">
        <f t="shared" si="2"/>
        <v>23227.9</v>
      </c>
    </row>
    <row r="94" spans="1:3" ht="18" customHeight="1">
      <c r="A94" t="s">
        <v>105</v>
      </c>
      <c r="B94" s="46">
        <v>10000</v>
      </c>
      <c r="C94" s="45">
        <f t="shared" si="2"/>
        <v>12488.12</v>
      </c>
    </row>
    <row r="95" spans="1:3" ht="18" customHeight="1">
      <c r="B95" s="46"/>
      <c r="C95" s="46"/>
    </row>
    <row r="96" spans="1:3" ht="18" customHeight="1">
      <c r="A96" t="s">
        <v>10</v>
      </c>
      <c r="B96" s="46">
        <v>6900</v>
      </c>
      <c r="C96" s="45">
        <f>ROUND($B$22*B96,2)</f>
        <v>8616.7999999999993</v>
      </c>
    </row>
    <row r="97" spans="1:5" ht="18" customHeight="1">
      <c r="B97" s="46"/>
      <c r="C97" s="46"/>
    </row>
    <row r="98" spans="1:5">
      <c r="B98" s="46"/>
      <c r="C98" s="46"/>
      <c r="E98" s="4"/>
    </row>
    <row r="99" spans="1:5">
      <c r="B99" s="9"/>
      <c r="C99" s="9"/>
      <c r="E99" s="4"/>
    </row>
    <row r="100" spans="1:5">
      <c r="B100" s="9"/>
      <c r="C100" s="9"/>
      <c r="E100" s="4"/>
    </row>
    <row r="101" spans="1:5">
      <c r="A101" t="s">
        <v>57</v>
      </c>
      <c r="B101" s="9">
        <v>194.47</v>
      </c>
      <c r="C101" s="46">
        <f>ROUND($B$22*B101,2)</f>
        <v>242.86</v>
      </c>
      <c r="E101" s="4"/>
    </row>
    <row r="102" spans="1:5">
      <c r="A102" t="s">
        <v>58</v>
      </c>
      <c r="B102" s="9">
        <v>185.4</v>
      </c>
      <c r="C102" s="46">
        <f>ROUND($B$22*B102,2)</f>
        <v>231.53</v>
      </c>
      <c r="E102" s="4"/>
    </row>
    <row r="103" spans="1:5">
      <c r="A103" t="s">
        <v>59</v>
      </c>
      <c r="B103" s="9">
        <v>156.54</v>
      </c>
      <c r="C103" s="46">
        <f>ROUND($B$22*B103,2)</f>
        <v>195.49</v>
      </c>
      <c r="E103" s="4"/>
    </row>
    <row r="104" spans="1:5">
      <c r="A104" t="s">
        <v>54</v>
      </c>
      <c r="B104" s="9">
        <v>6</v>
      </c>
      <c r="C104" s="46">
        <f>ROUND($B$22*B104,2)</f>
        <v>7.49</v>
      </c>
      <c r="E104" s="4"/>
    </row>
    <row r="105" spans="1:5">
      <c r="A105" t="s">
        <v>53</v>
      </c>
      <c r="B105" s="7">
        <v>3</v>
      </c>
      <c r="C105" s="46">
        <f>ROUND($B$22*B105,2)</f>
        <v>3.75</v>
      </c>
    </row>
    <row r="106" spans="1:5" ht="15.75">
      <c r="A106" s="16" t="s">
        <v>25</v>
      </c>
      <c r="B106" s="17"/>
      <c r="C106" s="18"/>
      <c r="D106" s="18"/>
    </row>
    <row r="107" spans="1:5" ht="15.75">
      <c r="A107" s="16" t="s">
        <v>26</v>
      </c>
      <c r="B107" s="17"/>
      <c r="C107" s="18"/>
      <c r="D107" s="18"/>
    </row>
    <row r="108" spans="1:5" ht="15.75">
      <c r="A108" s="16" t="s">
        <v>27</v>
      </c>
      <c r="B108" s="17"/>
      <c r="C108" s="18"/>
      <c r="D108" s="18"/>
    </row>
  </sheetData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5</vt:i4>
      </vt:variant>
    </vt:vector>
  </HeadingPairs>
  <TitlesOfParts>
    <vt:vector size="14" baseType="lpstr">
      <vt:lpstr>INTRO</vt:lpstr>
      <vt:lpstr> BHKL NY LØN</vt:lpstr>
      <vt:lpstr>BHKL GL LØN</vt:lpstr>
      <vt:lpstr>LÆRER NY LØN</vt:lpstr>
      <vt:lpstr>LÆRER GL LØN</vt:lpstr>
      <vt:lpstr>Timelønnede</vt:lpstr>
      <vt:lpstr>Lejrskole</vt:lpstr>
      <vt:lpstr>Dage</vt:lpstr>
      <vt:lpstr>DATABANK</vt:lpstr>
      <vt:lpstr>' BHKL NY LØN'!Udskriftsområde</vt:lpstr>
      <vt:lpstr>'BHKL GL LØN'!Udskriftsområde</vt:lpstr>
      <vt:lpstr>DATABANK!Udskriftsområde</vt:lpstr>
      <vt:lpstr>'LÆRER GL LØN'!Udskriftsområde</vt:lpstr>
      <vt:lpstr>'LÆRER NY LØN'!Udskriftsområde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JMS</cp:lastModifiedBy>
  <cp:lastPrinted>2011-09-07T15:31:00Z</cp:lastPrinted>
  <dcterms:created xsi:type="dcterms:W3CDTF">1999-08-18T13:04:59Z</dcterms:created>
  <dcterms:modified xsi:type="dcterms:W3CDTF">2011-09-29T15:46:40Z</dcterms:modified>
</cp:coreProperties>
</file>